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Clients/Population Health Management Initiative/Guides/BtF updates 2024/"/>
    </mc:Choice>
  </mc:AlternateContent>
  <xr:revisionPtr revIDLastSave="0" documentId="8_{EE5CE202-09D3-1F4F-9FFB-CD8B192DB50D}" xr6:coauthVersionLast="36" xr6:coauthVersionMax="36" xr10:uidLastSave="{00000000-0000-0000-0000-000000000000}"/>
  <bookViews>
    <workbookView xWindow="0" yWindow="500" windowWidth="19420" windowHeight="10420" tabRatio="831" xr2:uid="{632A783F-0512-4DA1-9747-7D151FABB2DF}"/>
  </bookViews>
  <sheets>
    <sheet name="0. Instructions" sheetId="7" r:id="rId1"/>
    <sheet name="1. Staffing and Salary Cost" sheetId="29" r:id="rId2"/>
    <sheet name="2. Users, Visits, Revenue" sheetId="28" r:id="rId3"/>
    <sheet name="3. Administrative Costs" sheetId="27" r:id="rId4"/>
    <sheet name="4. Incentive information" sheetId="26" r:id="rId5"/>
    <sheet name="5. Historical Financials" sheetId="10" r:id="rId6"/>
    <sheet name="6. PHMI Expense and Grants" sheetId="24" r:id="rId7"/>
    <sheet name="7. PHMI Care Team Example" sheetId="11" r:id="rId8"/>
    <sheet name="8. Care Team Simulation"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9" l="1"/>
  <c r="J68" i="9"/>
  <c r="J71" i="9" s="1"/>
  <c r="C31" i="10" l="1"/>
  <c r="E13" i="10"/>
  <c r="F13" i="10"/>
  <c r="G13" i="10"/>
  <c r="H13" i="10"/>
  <c r="C131" i="9"/>
  <c r="D131" i="9" s="1"/>
  <c r="C151" i="9"/>
  <c r="C149" i="9"/>
  <c r="D149" i="9" s="1"/>
  <c r="E131" i="9" l="1"/>
  <c r="D151" i="9"/>
  <c r="E151" i="9" s="1"/>
  <c r="F151" i="9" s="1"/>
  <c r="E149" i="9"/>
  <c r="F131" i="9" l="1"/>
  <c r="F149" i="9"/>
  <c r="G31" i="29" l="1"/>
  <c r="G33" i="29"/>
  <c r="G35" i="29"/>
  <c r="B88" i="9"/>
  <c r="B87" i="9"/>
  <c r="B86" i="9"/>
  <c r="B85" i="9"/>
  <c r="B84" i="9"/>
  <c r="B83" i="9"/>
  <c r="B82" i="9"/>
  <c r="B81" i="9"/>
  <c r="B80" i="9"/>
  <c r="C80" i="9" s="1"/>
  <c r="G80" i="9" s="1"/>
  <c r="B79" i="9"/>
  <c r="B43" i="9"/>
  <c r="B42" i="9"/>
  <c r="B41" i="9"/>
  <c r="B40" i="9"/>
  <c r="B39" i="9"/>
  <c r="B38" i="9"/>
  <c r="B37" i="9"/>
  <c r="B36" i="9"/>
  <c r="B35" i="9"/>
  <c r="B34" i="9"/>
  <c r="G38" i="29"/>
  <c r="G37" i="29"/>
  <c r="G36" i="29"/>
  <c r="G34" i="29"/>
  <c r="G32" i="29"/>
  <c r="B115" i="9"/>
  <c r="D38" i="9" l="1"/>
  <c r="H34" i="29"/>
  <c r="H35" i="29"/>
  <c r="H33" i="29"/>
  <c r="D36" i="9"/>
  <c r="C82" i="9"/>
  <c r="G82" i="9" s="1"/>
  <c r="D37" i="9"/>
  <c r="H32" i="29"/>
  <c r="D39" i="9"/>
  <c r="D35" i="9"/>
  <c r="H31" i="29"/>
  <c r="H80" i="9"/>
  <c r="K80" i="9"/>
  <c r="I80" i="9"/>
  <c r="C83" i="9"/>
  <c r="G83" i="9" s="1"/>
  <c r="C81" i="9"/>
  <c r="G81" i="9" s="1"/>
  <c r="K81" i="9" s="1"/>
  <c r="F26" i="28"/>
  <c r="K82" i="9" l="1"/>
  <c r="I82" i="9"/>
  <c r="H82" i="9"/>
  <c r="C84" i="9"/>
  <c r="H81" i="9"/>
  <c r="H83" i="9"/>
  <c r="K83" i="9"/>
  <c r="I83" i="9"/>
  <c r="I81" i="9"/>
  <c r="G84" i="9" l="1"/>
  <c r="H84" i="9" s="1"/>
  <c r="D40" i="9"/>
  <c r="H36" i="29"/>
  <c r="C85" i="9"/>
  <c r="G85" i="9" l="1"/>
  <c r="H85" i="9"/>
  <c r="C86" i="9"/>
  <c r="D41" i="9"/>
  <c r="H37" i="29"/>
  <c r="K84" i="9"/>
  <c r="I84" i="9"/>
  <c r="C124" i="9"/>
  <c r="F114" i="9"/>
  <c r="D42" i="9" l="1"/>
  <c r="H38" i="29"/>
  <c r="C87" i="9"/>
  <c r="G86" i="9"/>
  <c r="H86" i="9"/>
  <c r="K85" i="9"/>
  <c r="I85" i="9"/>
  <c r="D40" i="29"/>
  <c r="B205" i="9"/>
  <c r="B78" i="9"/>
  <c r="C78" i="9" s="1"/>
  <c r="G78" i="9" s="1"/>
  <c r="B28" i="11"/>
  <c r="D43" i="9"/>
  <c r="D34" i="9"/>
  <c r="B33" i="9"/>
  <c r="G30" i="29"/>
  <c r="H30" i="29" s="1"/>
  <c r="G29" i="29"/>
  <c r="K86" i="9" l="1"/>
  <c r="I86" i="9"/>
  <c r="G87" i="9"/>
  <c r="H87" i="9" s="1"/>
  <c r="H29" i="29"/>
  <c r="H78" i="9"/>
  <c r="I78" i="9"/>
  <c r="K78" i="9"/>
  <c r="C79" i="9"/>
  <c r="G79" i="9" s="1"/>
  <c r="K79" i="9" s="1"/>
  <c r="D33" i="9"/>
  <c r="I87" i="9" l="1"/>
  <c r="K87" i="9"/>
  <c r="I79" i="9"/>
  <c r="H79" i="9"/>
  <c r="T38" i="26"/>
  <c r="S38" i="26"/>
  <c r="R38" i="26"/>
  <c r="Q38" i="26"/>
  <c r="P38" i="26"/>
  <c r="O38" i="26"/>
  <c r="N38" i="26"/>
  <c r="M38" i="26"/>
  <c r="L38" i="26"/>
  <c r="K38" i="26"/>
  <c r="J38" i="26"/>
  <c r="I38" i="26"/>
  <c r="H38" i="26"/>
  <c r="G38" i="26"/>
  <c r="F38" i="26"/>
  <c r="K18" i="28"/>
  <c r="J18" i="28"/>
  <c r="I18" i="28"/>
  <c r="D23" i="24"/>
  <c r="D22" i="24"/>
  <c r="E22" i="24" s="1"/>
  <c r="F22" i="24" s="1"/>
  <c r="D21" i="24"/>
  <c r="E21" i="24" s="1"/>
  <c r="F21" i="24" s="1"/>
  <c r="D20" i="24"/>
  <c r="E20" i="24" s="1"/>
  <c r="F20" i="24" s="1"/>
  <c r="B204" i="9"/>
  <c r="B203" i="9"/>
  <c r="B202" i="9"/>
  <c r="B201" i="9"/>
  <c r="B200" i="9"/>
  <c r="B199" i="9"/>
  <c r="B198" i="9"/>
  <c r="B197" i="9"/>
  <c r="B196" i="9"/>
  <c r="B195" i="9"/>
  <c r="B194" i="9"/>
  <c r="B193" i="9"/>
  <c r="B192" i="9"/>
  <c r="B191" i="9"/>
  <c r="B190" i="9"/>
  <c r="B189" i="9"/>
  <c r="B188" i="9"/>
  <c r="B187" i="9"/>
  <c r="B186" i="9"/>
  <c r="N18" i="28" l="1"/>
  <c r="C114" i="9" s="1"/>
  <c r="D114" i="9"/>
  <c r="M18" i="28"/>
  <c r="E23" i="24"/>
  <c r="F23" i="24" s="1"/>
  <c r="B77" i="9"/>
  <c r="C77" i="9" s="1"/>
  <c r="B76" i="9"/>
  <c r="C76" i="9" s="1"/>
  <c r="B75" i="9"/>
  <c r="C75" i="9" s="1"/>
  <c r="B74" i="9"/>
  <c r="C74" i="9" s="1"/>
  <c r="B73" i="9"/>
  <c r="C73" i="9" s="1"/>
  <c r="B72" i="9"/>
  <c r="C72" i="9" s="1"/>
  <c r="B71" i="9"/>
  <c r="B70" i="9"/>
  <c r="B69" i="9"/>
  <c r="C69" i="9" s="1"/>
  <c r="F69" i="9" s="1"/>
  <c r="B68" i="9"/>
  <c r="C68" i="9" s="1"/>
  <c r="B67" i="9"/>
  <c r="B65" i="9"/>
  <c r="C65" i="9" s="1"/>
  <c r="B64" i="9"/>
  <c r="C64" i="9" s="1"/>
  <c r="B63" i="9"/>
  <c r="C63" i="9" s="1"/>
  <c r="B62" i="9"/>
  <c r="B61" i="9"/>
  <c r="B60" i="9"/>
  <c r="B59" i="9"/>
  <c r="B58" i="9"/>
  <c r="B32" i="9"/>
  <c r="B31" i="9"/>
  <c r="B30" i="9"/>
  <c r="B29" i="9"/>
  <c r="B28" i="9"/>
  <c r="B27" i="9"/>
  <c r="D27" i="9" s="1"/>
  <c r="B26" i="9"/>
  <c r="B25" i="9"/>
  <c r="B24" i="9"/>
  <c r="B23" i="9"/>
  <c r="B22" i="9"/>
  <c r="B20" i="9"/>
  <c r="B19" i="9"/>
  <c r="B18" i="9"/>
  <c r="D18" i="9" s="1"/>
  <c r="B17" i="9"/>
  <c r="B16" i="9"/>
  <c r="B15" i="9"/>
  <c r="B14" i="9"/>
  <c r="B13" i="9"/>
  <c r="B27" i="11"/>
  <c r="B26" i="11"/>
  <c r="B25" i="11"/>
  <c r="B24" i="11"/>
  <c r="B23" i="11"/>
  <c r="B22" i="11"/>
  <c r="B21" i="11"/>
  <c r="B20" i="11"/>
  <c r="B19" i="11"/>
  <c r="B18" i="11"/>
  <c r="B17" i="11"/>
  <c r="B16" i="11"/>
  <c r="B15" i="11"/>
  <c r="B14" i="11"/>
  <c r="B13" i="11"/>
  <c r="B12" i="11"/>
  <c r="B11" i="11"/>
  <c r="B10" i="11"/>
  <c r="B9" i="11"/>
  <c r="G22" i="29"/>
  <c r="H22" i="29" s="1"/>
  <c r="G20" i="29"/>
  <c r="F33" i="24"/>
  <c r="D13" i="11"/>
  <c r="H20" i="29" l="1"/>
  <c r="F89" i="9"/>
  <c r="I114" i="9"/>
  <c r="J114" i="9"/>
  <c r="D78" i="9"/>
  <c r="E33" i="9"/>
  <c r="C23" i="11"/>
  <c r="D200" i="9" s="1"/>
  <c r="C14" i="11"/>
  <c r="C22" i="11"/>
  <c r="C21" i="11"/>
  <c r="D198" i="9" s="1"/>
  <c r="C24" i="11"/>
  <c r="D201" i="9" s="1"/>
  <c r="C15" i="11"/>
  <c r="C25" i="11"/>
  <c r="C28" i="11"/>
  <c r="D205" i="9" s="1"/>
  <c r="C20" i="11"/>
  <c r="C27" i="11"/>
  <c r="C19" i="11"/>
  <c r="C26" i="11"/>
  <c r="C18" i="11"/>
  <c r="D195" i="9" s="1"/>
  <c r="C16" i="11"/>
  <c r="C60" i="9"/>
  <c r="E26" i="9"/>
  <c r="D187" i="9"/>
  <c r="D190" i="9"/>
  <c r="D188" i="9"/>
  <c r="D192" i="9"/>
  <c r="D189" i="9"/>
  <c r="D191" i="9"/>
  <c r="D196" i="9"/>
  <c r="D193" i="9"/>
  <c r="D197" i="9"/>
  <c r="D199" i="9"/>
  <c r="D202" i="9"/>
  <c r="D203" i="9"/>
  <c r="D204" i="9"/>
  <c r="D62" i="9"/>
  <c r="C59" i="9"/>
  <c r="D24" i="9"/>
  <c r="D63" i="9"/>
  <c r="D26" i="9"/>
  <c r="D29" i="9"/>
  <c r="D72" i="9"/>
  <c r="E17" i="9"/>
  <c r="C61" i="9"/>
  <c r="D71" i="9"/>
  <c r="D25" i="9"/>
  <c r="E18" i="9"/>
  <c r="E28" i="9"/>
  <c r="D64" i="9"/>
  <c r="D73" i="9"/>
  <c r="E19" i="9"/>
  <c r="E29" i="9"/>
  <c r="D65" i="9"/>
  <c r="D74" i="9"/>
  <c r="E27" i="9"/>
  <c r="D28" i="9"/>
  <c r="C70" i="9"/>
  <c r="E20" i="9"/>
  <c r="E30" i="9"/>
  <c r="D75" i="9"/>
  <c r="C71" i="9"/>
  <c r="E23" i="9"/>
  <c r="E31" i="9"/>
  <c r="D68" i="9"/>
  <c r="D76" i="9"/>
  <c r="D30" i="9"/>
  <c r="E24" i="9"/>
  <c r="E32" i="9"/>
  <c r="D69" i="9"/>
  <c r="D77" i="9"/>
  <c r="D32" i="9"/>
  <c r="C88" i="9"/>
  <c r="E25" i="9"/>
  <c r="D70" i="9"/>
  <c r="D19" i="9"/>
  <c r="D20" i="9"/>
  <c r="D23" i="9"/>
  <c r="D31" i="9"/>
  <c r="D14" i="9"/>
  <c r="D15" i="9"/>
  <c r="D16" i="9"/>
  <c r="C14" i="24"/>
  <c r="B40" i="24"/>
  <c r="B41" i="24"/>
  <c r="B42" i="24"/>
  <c r="B43" i="24"/>
  <c r="B44" i="24"/>
  <c r="A3" i="11" a="1"/>
  <c r="A3" i="11" s="1"/>
  <c r="C12" i="27"/>
  <c r="I12" i="28"/>
  <c r="J12" i="28"/>
  <c r="K12" i="28"/>
  <c r="I13" i="28"/>
  <c r="J13" i="28"/>
  <c r="K13" i="28"/>
  <c r="D109" i="9" s="1"/>
  <c r="I14" i="28"/>
  <c r="J14" i="28"/>
  <c r="K14" i="28"/>
  <c r="D110" i="9" s="1"/>
  <c r="I15" i="28"/>
  <c r="J15" i="28"/>
  <c r="K15" i="28"/>
  <c r="D111" i="9" s="1"/>
  <c r="I16" i="28"/>
  <c r="J16" i="28"/>
  <c r="K16" i="28"/>
  <c r="D112" i="9" s="1"/>
  <c r="I17" i="28"/>
  <c r="J17" i="28"/>
  <c r="K17" i="28"/>
  <c r="D113" i="9" s="1"/>
  <c r="I19" i="28"/>
  <c r="J19" i="28"/>
  <c r="K19" i="28"/>
  <c r="D115" i="9" s="1"/>
  <c r="H20" i="28"/>
  <c r="G20" i="28"/>
  <c r="F20" i="28"/>
  <c r="L20" i="28"/>
  <c r="C20" i="28"/>
  <c r="D20" i="28"/>
  <c r="E20" i="28"/>
  <c r="G50" i="9" s="1"/>
  <c r="G51" i="9" s="1"/>
  <c r="C166" i="9" l="1"/>
  <c r="M12" i="28"/>
  <c r="N12" i="28"/>
  <c r="C108" i="9" s="1"/>
  <c r="C132" i="9"/>
  <c r="C49" i="24"/>
  <c r="F41" i="28"/>
  <c r="C119" i="9" s="1"/>
  <c r="C30" i="28"/>
  <c r="D108" i="9"/>
  <c r="D116" i="9" s="1"/>
  <c r="C89" i="9"/>
  <c r="D44" i="9"/>
  <c r="E21" i="9"/>
  <c r="E60" i="9"/>
  <c r="C188" i="9" s="1"/>
  <c r="E61" i="9"/>
  <c r="C189" i="9" s="1"/>
  <c r="E59" i="9"/>
  <c r="C187" i="9" s="1"/>
  <c r="J63" i="9"/>
  <c r="E14" i="24"/>
  <c r="F14" i="24"/>
  <c r="D14" i="24"/>
  <c r="E28" i="24"/>
  <c r="F28" i="24"/>
  <c r="D28" i="24"/>
  <c r="A4" i="27"/>
  <c r="A4" i="26"/>
  <c r="A4" i="10"/>
  <c r="A4" i="11"/>
  <c r="A4" i="24"/>
  <c r="A4" i="9"/>
  <c r="A4" i="29"/>
  <c r="A4" i="28"/>
  <c r="A3" i="9" a="1"/>
  <c r="A3" i="9" s="1"/>
  <c r="A3" i="24" a="1"/>
  <c r="A3" i="24" s="1"/>
  <c r="A3" i="10" a="1"/>
  <c r="A3" i="10" s="1"/>
  <c r="A3" i="26" a="1"/>
  <c r="A3" i="26" s="1"/>
  <c r="A3" i="27" a="1"/>
  <c r="A3" i="27" s="1"/>
  <c r="A3" i="29" a="1"/>
  <c r="A3" i="29" s="1"/>
  <c r="A3" i="28" a="1"/>
  <c r="A3" i="28" s="1"/>
  <c r="C53" i="9"/>
  <c r="E178" i="9"/>
  <c r="C120" i="9" s="1"/>
  <c r="E180" i="9"/>
  <c r="N13" i="28"/>
  <c r="C109" i="9" s="1"/>
  <c r="M13" i="28"/>
  <c r="C167" i="9" l="1"/>
  <c r="D152" i="9"/>
  <c r="F32" i="10" s="1"/>
  <c r="D50" i="24"/>
  <c r="F152" i="9"/>
  <c r="H32" i="10" s="1"/>
  <c r="F50" i="24"/>
  <c r="E152" i="9"/>
  <c r="G32" i="10" s="1"/>
  <c r="E50" i="24"/>
  <c r="E132" i="9"/>
  <c r="E49" i="24"/>
  <c r="D132" i="9"/>
  <c r="D49" i="24"/>
  <c r="F132" i="9"/>
  <c r="F49" i="24"/>
  <c r="I108" i="9"/>
  <c r="J108" i="9"/>
  <c r="I109" i="9"/>
  <c r="J109" i="9"/>
  <c r="E179" i="9"/>
  <c r="F179" i="9" s="1"/>
  <c r="G179" i="9" s="1"/>
  <c r="E181" i="9"/>
  <c r="C37" i="24" l="1"/>
  <c r="F36" i="24"/>
  <c r="C44" i="24" s="1"/>
  <c r="D44" i="24" s="1"/>
  <c r="E44" i="24" s="1"/>
  <c r="F44" i="24" s="1"/>
  <c r="F35" i="24"/>
  <c r="C43" i="24" s="1"/>
  <c r="D43" i="24" s="1"/>
  <c r="E43" i="24" s="1"/>
  <c r="F34" i="24"/>
  <c r="C42" i="24" s="1"/>
  <c r="D42" i="24" s="1"/>
  <c r="E42" i="24" s="1"/>
  <c r="F42" i="24" s="1"/>
  <c r="C41" i="24"/>
  <c r="D41" i="24" s="1"/>
  <c r="F32" i="24"/>
  <c r="C28" i="24"/>
  <c r="D13" i="29"/>
  <c r="D17" i="29" s="1"/>
  <c r="D41" i="29" s="1"/>
  <c r="G10" i="29"/>
  <c r="H10" i="29" s="1"/>
  <c r="C16" i="27"/>
  <c r="K20" i="28"/>
  <c r="J20" i="28"/>
  <c r="N14" i="28"/>
  <c r="C110" i="9" s="1"/>
  <c r="N15" i="28"/>
  <c r="C111" i="9" s="1"/>
  <c r="N16" i="28"/>
  <c r="C112" i="9" s="1"/>
  <c r="N17" i="28"/>
  <c r="C113" i="9" s="1"/>
  <c r="N19" i="28"/>
  <c r="C115" i="9" s="1"/>
  <c r="M14" i="28"/>
  <c r="M15" i="28"/>
  <c r="M16" i="28"/>
  <c r="M17" i="28"/>
  <c r="M19" i="28"/>
  <c r="I20" i="28"/>
  <c r="G11" i="29"/>
  <c r="G12" i="29"/>
  <c r="G19" i="29"/>
  <c r="G21" i="29"/>
  <c r="G14" i="29"/>
  <c r="H14" i="29" s="1"/>
  <c r="G15" i="29"/>
  <c r="G23" i="29"/>
  <c r="G24" i="29"/>
  <c r="G25" i="29"/>
  <c r="G26" i="29"/>
  <c r="G27" i="29"/>
  <c r="G28" i="29"/>
  <c r="G16" i="29"/>
  <c r="G39" i="29"/>
  <c r="T48" i="26"/>
  <c r="S48" i="26"/>
  <c r="R48" i="26"/>
  <c r="Q48" i="26"/>
  <c r="P48" i="26"/>
  <c r="O48" i="26"/>
  <c r="N48" i="26"/>
  <c r="M48" i="26"/>
  <c r="L48" i="26"/>
  <c r="K48" i="26"/>
  <c r="J48" i="26"/>
  <c r="I48" i="26"/>
  <c r="H48" i="26"/>
  <c r="G48" i="26"/>
  <c r="F48" i="26"/>
  <c r="T32" i="26"/>
  <c r="S32" i="26"/>
  <c r="R32" i="26"/>
  <c r="Q32" i="26"/>
  <c r="P32" i="26"/>
  <c r="O32" i="26"/>
  <c r="N32" i="26"/>
  <c r="M32" i="26"/>
  <c r="L32" i="26"/>
  <c r="K32" i="26"/>
  <c r="J32" i="26"/>
  <c r="I32" i="26"/>
  <c r="H32" i="26"/>
  <c r="G32" i="26"/>
  <c r="F32" i="26"/>
  <c r="E31" i="26"/>
  <c r="D31" i="26"/>
  <c r="C31" i="26"/>
  <c r="E30" i="26"/>
  <c r="D30" i="26"/>
  <c r="C30" i="26"/>
  <c r="E29" i="26"/>
  <c r="D29" i="26"/>
  <c r="C29" i="26"/>
  <c r="E28" i="26"/>
  <c r="D28" i="26"/>
  <c r="C28" i="26"/>
  <c r="E27" i="26"/>
  <c r="D27" i="26"/>
  <c r="C27" i="26"/>
  <c r="E26" i="26"/>
  <c r="D26" i="26"/>
  <c r="C26" i="26"/>
  <c r="E25" i="26"/>
  <c r="D25" i="26"/>
  <c r="C25" i="26"/>
  <c r="E24" i="26"/>
  <c r="D24" i="26"/>
  <c r="C24" i="26"/>
  <c r="E23" i="26"/>
  <c r="D23" i="26"/>
  <c r="C23" i="26"/>
  <c r="E22" i="26"/>
  <c r="D22" i="26"/>
  <c r="C22" i="26"/>
  <c r="E21" i="26"/>
  <c r="D21" i="26"/>
  <c r="C21" i="26"/>
  <c r="E20" i="26"/>
  <c r="D20" i="26"/>
  <c r="C20" i="26"/>
  <c r="T17" i="26"/>
  <c r="S17" i="26"/>
  <c r="R17" i="26"/>
  <c r="Q17" i="26"/>
  <c r="P17" i="26"/>
  <c r="O17" i="26"/>
  <c r="N17" i="26"/>
  <c r="M17" i="26"/>
  <c r="L17" i="26"/>
  <c r="K17" i="26"/>
  <c r="J17" i="26"/>
  <c r="I17" i="26"/>
  <c r="H17" i="26"/>
  <c r="G17" i="26"/>
  <c r="F17" i="26"/>
  <c r="E16" i="26"/>
  <c r="D16" i="26"/>
  <c r="C16" i="26"/>
  <c r="E15" i="26"/>
  <c r="D15" i="26"/>
  <c r="C15" i="26"/>
  <c r="E14" i="26"/>
  <c r="D14" i="26"/>
  <c r="C14" i="26"/>
  <c r="E13" i="26"/>
  <c r="D13" i="26"/>
  <c r="C13" i="26"/>
  <c r="E12" i="26"/>
  <c r="D12" i="26"/>
  <c r="C12" i="26"/>
  <c r="E11" i="26"/>
  <c r="D11" i="26"/>
  <c r="C11" i="26"/>
  <c r="E10" i="26"/>
  <c r="D10" i="26"/>
  <c r="C10" i="26"/>
  <c r="E42" i="26"/>
  <c r="D42" i="26"/>
  <c r="C42" i="26"/>
  <c r="E41" i="26"/>
  <c r="D41" i="26"/>
  <c r="C41" i="26"/>
  <c r="D45" i="26"/>
  <c r="D37" i="26"/>
  <c r="C37" i="26"/>
  <c r="E36" i="26"/>
  <c r="D36" i="26"/>
  <c r="C36" i="26"/>
  <c r="E35" i="26"/>
  <c r="D35" i="26"/>
  <c r="C35" i="26"/>
  <c r="C139" i="9" l="1"/>
  <c r="C152" i="9"/>
  <c r="E32" i="10" s="1"/>
  <c r="C50" i="24"/>
  <c r="I115" i="9"/>
  <c r="J115" i="9"/>
  <c r="I111" i="9"/>
  <c r="J111" i="9"/>
  <c r="O17" i="28"/>
  <c r="E113" i="9" s="1"/>
  <c r="G113" i="9" s="1"/>
  <c r="O14" i="28"/>
  <c r="E110" i="9" s="1"/>
  <c r="G110" i="9" s="1"/>
  <c r="O19" i="28"/>
  <c r="E115" i="9" s="1"/>
  <c r="G115" i="9" s="1"/>
  <c r="O16" i="28"/>
  <c r="E112" i="9" s="1"/>
  <c r="G112" i="9" s="1"/>
  <c r="O15" i="28"/>
  <c r="E111" i="9" s="1"/>
  <c r="G111" i="9" s="1"/>
  <c r="O13" i="28"/>
  <c r="E109" i="9" s="1"/>
  <c r="G109" i="9" s="1"/>
  <c r="O18" i="28"/>
  <c r="E114" i="9" s="1"/>
  <c r="G114" i="9" s="1"/>
  <c r="C100" i="9"/>
  <c r="O12" i="28"/>
  <c r="E108" i="9" s="1"/>
  <c r="G108" i="9" s="1"/>
  <c r="I110" i="9"/>
  <c r="J110" i="9"/>
  <c r="I112" i="9"/>
  <c r="J112" i="9"/>
  <c r="I113" i="9"/>
  <c r="J113" i="9"/>
  <c r="C38" i="26"/>
  <c r="D38" i="26"/>
  <c r="C32" i="26"/>
  <c r="C38" i="28"/>
  <c r="C40" i="24"/>
  <c r="D40" i="24" s="1"/>
  <c r="D45" i="24" s="1"/>
  <c r="F37" i="24"/>
  <c r="C62" i="9"/>
  <c r="D17" i="9"/>
  <c r="E41" i="24"/>
  <c r="F41" i="24" s="1"/>
  <c r="C22" i="27"/>
  <c r="C23" i="27"/>
  <c r="C21" i="27"/>
  <c r="C29" i="28"/>
  <c r="C11" i="10"/>
  <c r="H39" i="29"/>
  <c r="H23" i="29"/>
  <c r="H11" i="29"/>
  <c r="H16" i="29"/>
  <c r="H15" i="29"/>
  <c r="H28" i="29"/>
  <c r="H27" i="29"/>
  <c r="H21" i="29"/>
  <c r="H26" i="29"/>
  <c r="H25" i="29"/>
  <c r="H19" i="29"/>
  <c r="H24" i="29"/>
  <c r="H12" i="29"/>
  <c r="F43" i="24"/>
  <c r="H50" i="26"/>
  <c r="D32" i="26"/>
  <c r="F50" i="26"/>
  <c r="M20" i="28"/>
  <c r="N20" i="28"/>
  <c r="C116" i="9" s="1"/>
  <c r="E32" i="26"/>
  <c r="G50" i="26"/>
  <c r="O50" i="26"/>
  <c r="I50" i="26"/>
  <c r="P50" i="26"/>
  <c r="J50" i="26"/>
  <c r="Q50" i="26"/>
  <c r="E17" i="26"/>
  <c r="K50" i="26"/>
  <c r="R50" i="26"/>
  <c r="N50" i="26"/>
  <c r="S50" i="26"/>
  <c r="D17" i="26"/>
  <c r="C17" i="26"/>
  <c r="L50" i="26"/>
  <c r="T50" i="26"/>
  <c r="M50" i="26"/>
  <c r="D44" i="26"/>
  <c r="C43" i="26"/>
  <c r="E45" i="26"/>
  <c r="E37" i="26"/>
  <c r="E38" i="26" s="1"/>
  <c r="D43" i="26"/>
  <c r="C45" i="26"/>
  <c r="C142" i="9" l="1"/>
  <c r="D139" i="9"/>
  <c r="D153" i="9"/>
  <c r="F33" i="10" s="1"/>
  <c r="D51" i="24"/>
  <c r="D52" i="24" s="1"/>
  <c r="C39" i="9"/>
  <c r="C36" i="9"/>
  <c r="C41" i="9"/>
  <c r="C42" i="9"/>
  <c r="C38" i="9"/>
  <c r="C35" i="9"/>
  <c r="C37" i="9"/>
  <c r="C40" i="9"/>
  <c r="G52" i="9"/>
  <c r="H40" i="29"/>
  <c r="J62" i="9"/>
  <c r="J61" i="9" s="1"/>
  <c r="J60" i="9" s="1"/>
  <c r="J59" i="9" s="1"/>
  <c r="C34" i="28"/>
  <c r="J116" i="9"/>
  <c r="G116" i="9"/>
  <c r="I116" i="9"/>
  <c r="C66" i="9"/>
  <c r="C90" i="9" s="1"/>
  <c r="D21" i="9"/>
  <c r="D45" i="9" s="1"/>
  <c r="C26" i="9"/>
  <c r="G26" i="9" s="1"/>
  <c r="C34" i="9"/>
  <c r="C43" i="9"/>
  <c r="C33" i="9"/>
  <c r="G33" i="9" s="1"/>
  <c r="F33" i="9"/>
  <c r="H33" i="9" s="1"/>
  <c r="C33" i="28"/>
  <c r="C31" i="28"/>
  <c r="C32" i="28"/>
  <c r="E40" i="24"/>
  <c r="C45" i="24"/>
  <c r="F26" i="9"/>
  <c r="H26" i="9" s="1"/>
  <c r="F29" i="9"/>
  <c r="H29" i="9" s="1"/>
  <c r="C18" i="9"/>
  <c r="G18" i="9" s="1"/>
  <c r="F30" i="9"/>
  <c r="H30" i="9" s="1"/>
  <c r="F28" i="9"/>
  <c r="H28" i="9" s="1"/>
  <c r="F24" i="9"/>
  <c r="H24" i="9" s="1"/>
  <c r="F31" i="9"/>
  <c r="H31" i="9" s="1"/>
  <c r="F25" i="9"/>
  <c r="H25" i="9" s="1"/>
  <c r="F32" i="9"/>
  <c r="H32" i="9" s="1"/>
  <c r="F27" i="9"/>
  <c r="H27" i="9" s="1"/>
  <c r="C19" i="9"/>
  <c r="G19" i="9" s="1"/>
  <c r="C23" i="9"/>
  <c r="C27" i="9"/>
  <c r="G27" i="9" s="1"/>
  <c r="F17" i="9"/>
  <c r="C25" i="9"/>
  <c r="G25" i="9" s="1"/>
  <c r="C17" i="9"/>
  <c r="C24" i="9"/>
  <c r="G24" i="9" s="1"/>
  <c r="F20" i="9"/>
  <c r="H20" i="9" s="1"/>
  <c r="C20" i="9"/>
  <c r="G20" i="9" s="1"/>
  <c r="C32" i="9"/>
  <c r="G32" i="9" s="1"/>
  <c r="C31" i="9"/>
  <c r="G31" i="9" s="1"/>
  <c r="F18" i="9"/>
  <c r="H18" i="9" s="1"/>
  <c r="F23" i="9"/>
  <c r="C30" i="9"/>
  <c r="G30" i="9" s="1"/>
  <c r="C29" i="9"/>
  <c r="G29" i="9" s="1"/>
  <c r="F19" i="9"/>
  <c r="H19" i="9" s="1"/>
  <c r="C28" i="9"/>
  <c r="G28" i="9" s="1"/>
  <c r="C159" i="9"/>
  <c r="C160" i="9"/>
  <c r="C161" i="9"/>
  <c r="D161" i="9" s="1"/>
  <c r="H13" i="29"/>
  <c r="O20" i="28"/>
  <c r="E116" i="9" s="1"/>
  <c r="C24" i="27"/>
  <c r="C44" i="26"/>
  <c r="E43" i="26"/>
  <c r="E44" i="26"/>
  <c r="E46" i="26"/>
  <c r="D46" i="26"/>
  <c r="E139" i="9" l="1"/>
  <c r="D142" i="9"/>
  <c r="E161" i="9"/>
  <c r="F161" i="9" s="1"/>
  <c r="C153" i="9"/>
  <c r="E33" i="10" s="1"/>
  <c r="C51" i="24"/>
  <c r="C52" i="24" s="1"/>
  <c r="H23" i="9"/>
  <c r="H44" i="9" s="1"/>
  <c r="F44" i="9"/>
  <c r="G23" i="9"/>
  <c r="G17" i="9"/>
  <c r="G21" i="9" s="1"/>
  <c r="C21" i="9"/>
  <c r="F21" i="9"/>
  <c r="H17" i="29"/>
  <c r="F40" i="24"/>
  <c r="F45" i="24" s="1"/>
  <c r="E45" i="24"/>
  <c r="H17" i="9"/>
  <c r="H21" i="9" s="1"/>
  <c r="C46" i="26"/>
  <c r="D47" i="26"/>
  <c r="D48" i="26" s="1"/>
  <c r="D50" i="26" s="1"/>
  <c r="E47" i="26"/>
  <c r="E48" i="26" s="1"/>
  <c r="E50" i="26" s="1"/>
  <c r="F139" i="9" l="1"/>
  <c r="E142" i="9"/>
  <c r="E153" i="9"/>
  <c r="G33" i="10" s="1"/>
  <c r="E51" i="24"/>
  <c r="E52" i="24" s="1"/>
  <c r="F153" i="9"/>
  <c r="H33" i="10" s="1"/>
  <c r="F51" i="24"/>
  <c r="F52" i="24" s="1"/>
  <c r="H41" i="29"/>
  <c r="C158" i="9" s="1"/>
  <c r="F45" i="9"/>
  <c r="H45" i="9"/>
  <c r="C47" i="26"/>
  <c r="C48" i="26" s="1"/>
  <c r="C50" i="26" s="1"/>
  <c r="F142" i="9" l="1"/>
  <c r="F60" i="9"/>
  <c r="G60" i="9" s="1"/>
  <c r="F61" i="9"/>
  <c r="G61" i="9" s="1"/>
  <c r="I61" i="9" l="1"/>
  <c r="H61" i="9"/>
  <c r="I60" i="9"/>
  <c r="H60" i="9"/>
  <c r="F59" i="9"/>
  <c r="E62" i="9"/>
  <c r="C12" i="10"/>
  <c r="E12" i="10" l="1"/>
  <c r="H12" i="10"/>
  <c r="F12" i="10"/>
  <c r="G12" i="10"/>
  <c r="E71" i="9"/>
  <c r="C198" i="9" s="1"/>
  <c r="E78" i="9"/>
  <c r="C205" i="9" s="1"/>
  <c r="G71" i="9"/>
  <c r="F62" i="9"/>
  <c r="C121" i="9" s="1"/>
  <c r="G59" i="9"/>
  <c r="E77" i="9"/>
  <c r="E68" i="9"/>
  <c r="C195" i="9" s="1"/>
  <c r="E70" i="9"/>
  <c r="E69" i="9"/>
  <c r="C196" i="9" s="1"/>
  <c r="E74" i="9"/>
  <c r="E72" i="9"/>
  <c r="E76" i="9"/>
  <c r="E63" i="9"/>
  <c r="E65" i="9"/>
  <c r="E75" i="9"/>
  <c r="E64" i="9"/>
  <c r="E73" i="9"/>
  <c r="C190" i="9"/>
  <c r="K61" i="9"/>
  <c r="K51" i="9" l="1"/>
  <c r="C192" i="9"/>
  <c r="F66" i="9"/>
  <c r="F90" i="9" s="1"/>
  <c r="I59" i="9"/>
  <c r="I62" i="9" s="1"/>
  <c r="H59" i="9"/>
  <c r="H62" i="9" s="1"/>
  <c r="K71" i="9"/>
  <c r="H71" i="9"/>
  <c r="K59" i="9"/>
  <c r="G63" i="9"/>
  <c r="C191" i="9"/>
  <c r="G77" i="9"/>
  <c r="C204" i="9"/>
  <c r="G76" i="9"/>
  <c r="C203" i="9"/>
  <c r="G72" i="9"/>
  <c r="C199" i="9"/>
  <c r="G74" i="9"/>
  <c r="C201" i="9"/>
  <c r="G65" i="9"/>
  <c r="C193" i="9"/>
  <c r="G73" i="9"/>
  <c r="C200" i="9"/>
  <c r="G88" i="9"/>
  <c r="G75" i="9"/>
  <c r="C202" i="9"/>
  <c r="G70" i="9"/>
  <c r="C197" i="9"/>
  <c r="G62" i="9"/>
  <c r="K50" i="9"/>
  <c r="G69" i="9"/>
  <c r="F192" i="9" l="1"/>
  <c r="I75" i="9"/>
  <c r="H75" i="9"/>
  <c r="I69" i="9"/>
  <c r="H69" i="9"/>
  <c r="I63" i="9"/>
  <c r="H63" i="9"/>
  <c r="I72" i="9"/>
  <c r="H72" i="9"/>
  <c r="I73" i="9"/>
  <c r="H73" i="9"/>
  <c r="I74" i="9"/>
  <c r="H74" i="9"/>
  <c r="I88" i="9"/>
  <c r="H88" i="9"/>
  <c r="I76" i="9"/>
  <c r="H76" i="9"/>
  <c r="I70" i="9"/>
  <c r="H70" i="9"/>
  <c r="I65" i="9"/>
  <c r="H65" i="9"/>
  <c r="I77" i="9"/>
  <c r="H77" i="9"/>
  <c r="G64" i="9"/>
  <c r="G66" i="9" s="1"/>
  <c r="K63" i="9"/>
  <c r="K65" i="9"/>
  <c r="K74" i="9"/>
  <c r="K77" i="9"/>
  <c r="F187" i="9"/>
  <c r="F188" i="9" s="1"/>
  <c r="F189" i="9" s="1"/>
  <c r="F190" i="9" s="1"/>
  <c r="F201" i="9"/>
  <c r="F195" i="9"/>
  <c r="F191" i="9" s="1"/>
  <c r="F205" i="9"/>
  <c r="F204" i="9"/>
  <c r="F203" i="9"/>
  <c r="F202" i="9"/>
  <c r="F200" i="9"/>
  <c r="F199" i="9"/>
  <c r="F198" i="9"/>
  <c r="F197" i="9"/>
  <c r="F196" i="9"/>
  <c r="K88" i="9"/>
  <c r="K70" i="9"/>
  <c r="K72" i="9"/>
  <c r="K73" i="9"/>
  <c r="K75" i="9"/>
  <c r="F193" i="9"/>
  <c r="G68" i="9"/>
  <c r="G89" i="9" s="1"/>
  <c r="K69" i="9"/>
  <c r="K76" i="9"/>
  <c r="G90" i="9" l="1"/>
  <c r="I64" i="9"/>
  <c r="I66" i="9" s="1"/>
  <c r="H64" i="9"/>
  <c r="H66" i="9" s="1"/>
  <c r="K64" i="9"/>
  <c r="I68" i="9"/>
  <c r="I89" i="9" s="1"/>
  <c r="H68" i="9"/>
  <c r="H89" i="9" s="1"/>
  <c r="K68" i="9"/>
  <c r="K89" i="9" s="1"/>
  <c r="C30" i="10"/>
  <c r="C39" i="10" l="1"/>
  <c r="H90" i="9"/>
  <c r="I90" i="9"/>
  <c r="K60" i="9"/>
  <c r="K62" i="9" s="1"/>
  <c r="C148" i="9" l="1"/>
  <c r="K66" i="9"/>
  <c r="K90" i="9" s="1"/>
  <c r="C101" i="9" s="1"/>
  <c r="C103" i="9" s="1"/>
  <c r="D158" i="9" s="1"/>
  <c r="D148" i="9" l="1"/>
  <c r="F30" i="10" s="1"/>
  <c r="E30" i="10"/>
  <c r="E158" i="9"/>
  <c r="F158" i="9" s="1"/>
  <c r="E148" i="9"/>
  <c r="C26" i="10"/>
  <c r="C162" i="9"/>
  <c r="F148" i="9" l="1"/>
  <c r="H30" i="10" s="1"/>
  <c r="G30" i="10"/>
  <c r="H116" i="9"/>
  <c r="C150" i="9" s="1"/>
  <c r="E31" i="10" s="1"/>
  <c r="E39" i="10" s="1"/>
  <c r="D160" i="9"/>
  <c r="E160" i="9" s="1"/>
  <c r="F160" i="9" s="1"/>
  <c r="D159" i="9"/>
  <c r="E159" i="9" s="1"/>
  <c r="F159" i="9" s="1"/>
  <c r="C43" i="10"/>
  <c r="F162" i="9" l="1"/>
  <c r="D150" i="9"/>
  <c r="F31" i="10" s="1"/>
  <c r="F39" i="10" s="1"/>
  <c r="H108" i="9"/>
  <c r="H111" i="9"/>
  <c r="K111" i="9" s="1"/>
  <c r="L111" i="9" s="1"/>
  <c r="H113" i="9"/>
  <c r="K113" i="9" s="1"/>
  <c r="L113" i="9" s="1"/>
  <c r="C154" i="9"/>
  <c r="C130" i="9" s="1"/>
  <c r="H115" i="9"/>
  <c r="K115" i="9" s="1"/>
  <c r="L115" i="9" s="1"/>
  <c r="H114" i="9"/>
  <c r="K114" i="9" s="1"/>
  <c r="L114" i="9" s="1"/>
  <c r="H110" i="9"/>
  <c r="K110" i="9" s="1"/>
  <c r="L110" i="9" s="1"/>
  <c r="H112" i="9"/>
  <c r="K112" i="9" s="1"/>
  <c r="L112" i="9" s="1"/>
  <c r="H109" i="9"/>
  <c r="K109" i="9" s="1"/>
  <c r="L109" i="9" s="1"/>
  <c r="D162" i="9"/>
  <c r="E162" i="9"/>
  <c r="C125" i="9"/>
  <c r="L108" i="9" l="1"/>
  <c r="K108" i="9"/>
  <c r="K116" i="9" s="1"/>
  <c r="C138" i="9" s="1"/>
  <c r="C172" i="9"/>
  <c r="C168" i="9"/>
  <c r="E150" i="9"/>
  <c r="G31" i="10" s="1"/>
  <c r="G39" i="10" s="1"/>
  <c r="D154" i="9"/>
  <c r="D130" i="9" s="1"/>
  <c r="L116" i="9"/>
  <c r="F178" i="9"/>
  <c r="C169" i="9" l="1"/>
  <c r="C170" i="9" s="1"/>
  <c r="C173" i="9" s="1"/>
  <c r="E140" i="9" s="1"/>
  <c r="F150" i="9"/>
  <c r="F154" i="9" s="1"/>
  <c r="F130" i="9" s="1"/>
  <c r="C141" i="9"/>
  <c r="E154" i="9"/>
  <c r="E130" i="9" s="1"/>
  <c r="F180" i="9"/>
  <c r="G180" i="9" s="1"/>
  <c r="G178" i="9"/>
  <c r="H31" i="10" l="1"/>
  <c r="H39" i="10" s="1"/>
  <c r="C171" i="9"/>
  <c r="E143" i="9" s="1"/>
  <c r="D141" i="9"/>
  <c r="E141" i="9" s="1"/>
  <c r="F141" i="9" s="1"/>
  <c r="C144" i="9"/>
  <c r="D138" i="9"/>
  <c r="E138" i="9" s="1"/>
  <c r="F138" i="9" s="1"/>
  <c r="F181" i="9"/>
  <c r="G181" i="9" s="1"/>
  <c r="E197" i="9"/>
  <c r="E196" i="9"/>
  <c r="E195" i="9"/>
  <c r="E191" i="9" s="1"/>
  <c r="E201" i="9"/>
  <c r="E204" i="9"/>
  <c r="E200" i="9"/>
  <c r="E202" i="9"/>
  <c r="E187" i="9"/>
  <c r="E188" i="9" s="1"/>
  <c r="E189" i="9" s="1"/>
  <c r="E190" i="9" s="1"/>
  <c r="E205" i="9"/>
  <c r="E203" i="9"/>
  <c r="E198" i="9"/>
  <c r="E192" i="9"/>
  <c r="E193" i="9"/>
  <c r="E199" i="9"/>
  <c r="F140" i="9"/>
  <c r="C129" i="9" l="1"/>
  <c r="C133" i="9" s="1"/>
  <c r="E11" i="10"/>
  <c r="D144" i="9"/>
  <c r="F11" i="10" s="1"/>
  <c r="F26" i="10" s="1"/>
  <c r="F43" i="10" s="1"/>
  <c r="D134" i="9" s="1"/>
  <c r="F143" i="9"/>
  <c r="E144" i="9"/>
  <c r="F144" i="9"/>
  <c r="E26" i="10" l="1"/>
  <c r="E43" i="10" s="1"/>
  <c r="C134" i="9" s="1"/>
  <c r="E129" i="9"/>
  <c r="E133" i="9" s="1"/>
  <c r="G11" i="10"/>
  <c r="G26" i="10" s="1"/>
  <c r="G43" i="10" s="1"/>
  <c r="E134" i="9" s="1"/>
  <c r="F129" i="9"/>
  <c r="F133" i="9" s="1"/>
  <c r="H11" i="10"/>
  <c r="H26" i="10" s="1"/>
  <c r="H43" i="10" s="1"/>
  <c r="F134" i="9" s="1"/>
  <c r="D129" i="9"/>
  <c r="D13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tc={DE3E2FE2-06BD-4F51-BDBA-FA3C5D6EFDE2}</author>
  </authors>
  <commentList>
    <comment ref="E8" authorId="0" shapeId="0" xr:uid="{DE3E2FE2-06BD-4F51-BDBA-FA3C5D6EFD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Current salary for staff members or estimated salary for new staff positions.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tc={A35F3EB1-9686-4F72-9146-8346205E0963}</author>
    <author>tc={65CFC23A-9EFD-4EB9-9E22-7B85E5CCE3DE}</author>
  </authors>
  <commentList>
    <comment ref="B14" authorId="0" shapeId="0" xr:uid="{A35F3EB1-9686-4F72-9146-8346205E09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Variable costs change relative to the number of visits provided.
The model assumes that the variable cost per visit is consistent even with increased or decreased billable visits.
If a cost is not easily classified as "variable", report it in the "fixed" cost bucket.</t>
        </r>
      </text>
    </comment>
    <comment ref="B15" authorId="1" shapeId="0" xr:uid="{65CFC23A-9EFD-4EB9-9E22-7B85E5CCE3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costs will not change if the number of visits rendered by the clinic changes.
On the simulation tab, the model will adjust the fixed cost per visit if the number of billable visits changes.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tc={73F2DFE5-C07C-4733-93EB-C2CE0DE173AB}</author>
  </authors>
  <commentList>
    <comment ref="L57" authorId="0" shapeId="0" xr:uid="{73F2DFE5-C07C-4733-93EB-C2CE0DE173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Clinics to review by their staffing positions if costs are included in PPS rebase calculations.
1 = Yes cost included
0 = No cost not included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<sst xmlns="http://schemas.openxmlformats.org/spreadsheetml/2006/main" count="687" uniqueCount="440">
  <si>
    <t>Staff Type</t>
  </si>
  <si>
    <t>Salary and Benefit Cost/FTE</t>
  </si>
  <si>
    <t>Care Team Cost</t>
  </si>
  <si>
    <t>Total</t>
  </si>
  <si>
    <t>Annual Billable Visits/FTE</t>
  </si>
  <si>
    <t># Annual Billable Visits</t>
  </si>
  <si>
    <t>Commercial high deductible</t>
  </si>
  <si>
    <t>Other Third Party</t>
  </si>
  <si>
    <t>Uninsured</t>
  </si>
  <si>
    <t>Collection Rate</t>
  </si>
  <si>
    <t>Well child visits (1st 15 months</t>
  </si>
  <si>
    <t>Postpartum care</t>
  </si>
  <si>
    <t>Depression screening and f/u</t>
  </si>
  <si>
    <t>Colorectal cancer screening</t>
  </si>
  <si>
    <t>ED utilization</t>
  </si>
  <si>
    <t>Ambulatory sensitive admissions</t>
  </si>
  <si>
    <t>Unplanned 30-day readmissions</t>
  </si>
  <si>
    <t>Total cost per visit</t>
  </si>
  <si>
    <t>Change in Care Team Cost</t>
  </si>
  <si>
    <t>Clinical Psychologist</t>
  </si>
  <si>
    <t>Commercial other</t>
  </si>
  <si>
    <t>Change in # Annual Billable Visits</t>
  </si>
  <si>
    <t>Functions</t>
  </si>
  <si>
    <t>Evidence-based primary care</t>
  </si>
  <si>
    <t xml:space="preserve">Population management  </t>
  </si>
  <si>
    <t>Population management</t>
  </si>
  <si>
    <t xml:space="preserve"> Self Management Support &amp; Health Educator</t>
  </si>
  <si>
    <t>Medication management</t>
  </si>
  <si>
    <t>Linkage to resources to address SDOH</t>
  </si>
  <si>
    <t>Behavioral health integration</t>
  </si>
  <si>
    <t>Quality improvement</t>
  </si>
  <si>
    <t>PHMI Expanded Care Team Model: Staff to PCP Ratio</t>
  </si>
  <si>
    <t>Percent of Total Corporate Overhead allocated to Clinic</t>
  </si>
  <si>
    <t>Population Health Management Initiative </t>
  </si>
  <si>
    <t>Business Case Financial Model</t>
  </si>
  <si>
    <t>Revenue</t>
  </si>
  <si>
    <t>Expenses</t>
  </si>
  <si>
    <t># of Full Time Employees (FTE)</t>
  </si>
  <si>
    <t>Payor Type</t>
  </si>
  <si>
    <t>Administrative Costs</t>
  </si>
  <si>
    <t>Physician (MD/DO)</t>
  </si>
  <si>
    <t>Nurse Practitioner (NP)</t>
  </si>
  <si>
    <t>Physician Assistant (PA)</t>
  </si>
  <si>
    <t>Triage Nurse and Clinic Oversight (RN/LVN)</t>
  </si>
  <si>
    <t>Medical Assistant (MA)</t>
  </si>
  <si>
    <t>Panel Manager/Data Analyst</t>
  </si>
  <si>
    <t>Population Health Specialist (MA)</t>
  </si>
  <si>
    <t>QI Data Analyst</t>
  </si>
  <si>
    <t>Community Health Worker (CHW)/Peer Support</t>
  </si>
  <si>
    <t>Total Revenue from Visits</t>
  </si>
  <si>
    <t>Incentive Write-in</t>
  </si>
  <si>
    <t>Total Incentives</t>
  </si>
  <si>
    <t>Total Incentives Earned</t>
  </si>
  <si>
    <t>Revenue Write-in</t>
  </si>
  <si>
    <t>Total Revenue</t>
  </si>
  <si>
    <t>Expense Write-in</t>
  </si>
  <si>
    <t>Care Team Staffing Costs</t>
  </si>
  <si>
    <t xml:space="preserve">  </t>
  </si>
  <si>
    <t>Active Patient to Staff FTE Ratio Recommendation</t>
  </si>
  <si>
    <t>Simulated Change in Number of Physician (MD/DO) PCP FTEs</t>
  </si>
  <si>
    <t>Simulated Change in Number of Nurse Practitioner (NP) PCP FTEs</t>
  </si>
  <si>
    <t>Simulated Change in Number of Physician Assistant (PA) PCP FTEs</t>
  </si>
  <si>
    <t>Active Patient to Staff FTE Ratio</t>
  </si>
  <si>
    <t>Resulting Total Simulated PCPs</t>
  </si>
  <si>
    <t>Simulated PCPs and Panel Size</t>
  </si>
  <si>
    <t>Change in Care Team Staffing</t>
  </si>
  <si>
    <t>Recommended Care Team Staffing Based on Panel Size</t>
  </si>
  <si>
    <t>Simulated Change to Financial Profit/Loss</t>
  </si>
  <si>
    <t>Net Operating Income/(Loss)</t>
  </si>
  <si>
    <t>Simulated Care Team Change based on Recommended Patient to Staff Ratios</t>
  </si>
  <si>
    <t>Yes</t>
  </si>
  <si>
    <t># billable Medi-Cal visits</t>
  </si>
  <si>
    <t>Change in Scope effect</t>
  </si>
  <si>
    <t>Existing</t>
  </si>
  <si>
    <t>Simulated</t>
  </si>
  <si>
    <t>Change</t>
  </si>
  <si>
    <t>Anticipated changes under PHMI Expanded Care Team Model - Anticipated effect on staff ratio</t>
  </si>
  <si>
    <t xml:space="preserve">Anticipated changes under PHMI Expanded Care Team Model </t>
  </si>
  <si>
    <t>Anticipated change in % of assigned members who are CHC's patients</t>
  </si>
  <si>
    <t>User input</t>
  </si>
  <si>
    <t>Recommendation</t>
  </si>
  <si>
    <t>Key:</t>
  </si>
  <si>
    <t>0. Instructions</t>
  </si>
  <si>
    <t>PHMI Expanded Care Team Model: Staff to 1.0 PCP FTE Ratio</t>
  </si>
  <si>
    <t>Simulated Patient Panel at Site</t>
  </si>
  <si>
    <t>Salary Cost/FTE</t>
  </si>
  <si>
    <t>Benefit cost % of Salary</t>
  </si>
  <si>
    <t>Indirect Administrative Cost (e.g., Corporate overhead, HR, IT) - Total</t>
  </si>
  <si>
    <t>Percent of assigned Medi-Cal managed care members who have been seen as a patient in the last 12 months</t>
  </si>
  <si>
    <t>Number of total assigned Medi-Cal managed care members (seen and unseen)</t>
  </si>
  <si>
    <t>Number of assigned Medi-Cal managed care members seen in last 12 months (seen members, AKA patients)</t>
  </si>
  <si>
    <t>Number of assigned Medi-Cal managed care members NOT seen in last 12 months (unseen assigned members)</t>
  </si>
  <si>
    <t>Additional Expense 2026</t>
  </si>
  <si>
    <t>Additional Expense 2025</t>
  </si>
  <si>
    <t>Additional Expense 2024</t>
  </si>
  <si>
    <t>Staff training</t>
  </si>
  <si>
    <t>Staff recruitment</t>
  </si>
  <si>
    <t>EHR modification</t>
  </si>
  <si>
    <t>Project Design</t>
  </si>
  <si>
    <t>Additional Expense 2023</t>
  </si>
  <si>
    <t>Subtotal Hospital Utilization P4P Metrics</t>
  </si>
  <si>
    <t>Hospital Utilization Metrics</t>
  </si>
  <si>
    <t>Adults' Access to Preventive / Ambulatory Health Services</t>
  </si>
  <si>
    <t>CG-CAHPS: Getting Care Quickly</t>
  </si>
  <si>
    <t>CG-CAHPS: Getting Needed Care</t>
  </si>
  <si>
    <t xml:space="preserve">Prenatal Depression Screening and Follow Up </t>
  </si>
  <si>
    <t xml:space="preserve">Postpartum Depression Screening and Follow Up </t>
  </si>
  <si>
    <t>Depression remission or response for Adolescents and adults</t>
  </si>
  <si>
    <t xml:space="preserve">Well Child Visits 15-30 months </t>
  </si>
  <si>
    <t>Timeliness of Prenatal Care</t>
  </si>
  <si>
    <t xml:space="preserve">Child/Adolescent Well Care Visits </t>
  </si>
  <si>
    <t xml:space="preserve">Immunization for Adolescents (Combo 2) </t>
  </si>
  <si>
    <t>Cervical Cancer Screening</t>
  </si>
  <si>
    <t>Breast Cancer Screening</t>
  </si>
  <si>
    <t>PHMI Measure Supplemental Set</t>
  </si>
  <si>
    <t>Controlling High Blood Pressure</t>
  </si>
  <si>
    <t>Hemoglobin A1c Control for Patients With Diabetes (Poor Control &gt;9%)]</t>
  </si>
  <si>
    <t>Child Immunization Status (CIS 10)</t>
  </si>
  <si>
    <t>PHMI Core Measure Set</t>
  </si>
  <si>
    <t>Payor Mix
(by Visits)</t>
  </si>
  <si>
    <t>Revenue per payor type</t>
  </si>
  <si>
    <t>Indirect Administrative Cost - Allocated to Clinic</t>
  </si>
  <si>
    <t>(e.g., allocated by cost, allocated by visits):</t>
  </si>
  <si>
    <t>Indirect Administrative Cost and Allocation to Clinic</t>
  </si>
  <si>
    <t>Please describe how Total Indirect Administrative Cost was allocated to clinic:</t>
  </si>
  <si>
    <t>Input Answer</t>
  </si>
  <si>
    <t>Total Admin Cost per Visit</t>
  </si>
  <si>
    <t>PCP subtotal</t>
  </si>
  <si>
    <t>Salary Cost/FTE (2023 Expense Level)</t>
  </si>
  <si>
    <t>Salary and Benefit Cost/FTE
(2023 Expense Level)</t>
  </si>
  <si>
    <t>Other Write-in</t>
  </si>
  <si>
    <t>Medi-Cal - Managed Care</t>
  </si>
  <si>
    <t>Medi-Cal - Fee-for-Service</t>
  </si>
  <si>
    <t>Medicare (including Duals)</t>
  </si>
  <si>
    <t>Visits and Payments by Payor Type</t>
  </si>
  <si>
    <t>PCP FTE subtotal</t>
  </si>
  <si>
    <t>Avg Assigned Panel Size Per 1.0 PCP FTE</t>
  </si>
  <si>
    <t>Simulated Change to PCP FTE subtotal</t>
  </si>
  <si>
    <t>Indirect Admin Costs Allocated to Clinic</t>
  </si>
  <si>
    <t>Care team cost staffing costs</t>
  </si>
  <si>
    <t>Project Grant Support*</t>
  </si>
  <si>
    <t>QI Lead</t>
  </si>
  <si>
    <t>CORE TEAM MEMBERS</t>
  </si>
  <si>
    <t>EXPANDED TEAM MEMBERS</t>
  </si>
  <si>
    <t>Are there any anticipated changes to administrative costs?</t>
  </si>
  <si>
    <t>Answer the following questions:</t>
  </si>
  <si>
    <t>Model Intent:</t>
  </si>
  <si>
    <t>Simulation/Scenario Testing Tab</t>
  </si>
  <si>
    <t>Data Input Tab</t>
  </si>
  <si>
    <t>Clinical Recommendation Tab</t>
  </si>
  <si>
    <t>How to use this model:</t>
  </si>
  <si>
    <t>This tool is designed to be used for individual clinic sites. Before continuing, identify which clinic site will be reviewed. List the clinic site in Cell A4 of this tab.</t>
  </si>
  <si>
    <t>Before continuing further in the model, review the income statement on tab 5. and be sure it aligns with other financial statements for the selected clinic site.</t>
  </si>
  <si>
    <t>Clinic Site XYZ</t>
  </si>
  <si>
    <t xml:space="preserve">     then modify the assumptions and repeat this process until desirable outcomes and insights are identified.</t>
  </si>
  <si>
    <r>
      <t xml:space="preserve">Different </t>
    </r>
    <r>
      <rPr>
        <b/>
        <sz val="12.65"/>
        <rFont val="Calibri"/>
        <family val="2"/>
      </rPr>
      <t>tabs</t>
    </r>
    <r>
      <rPr>
        <sz val="11"/>
        <rFont val="Calibri"/>
        <family val="2"/>
        <scheme val="minor"/>
      </rPr>
      <t xml:space="preserve"> are color coded to indicate the following:</t>
    </r>
  </si>
  <si>
    <r>
      <t xml:space="preserve">Throughout the tabs, </t>
    </r>
    <r>
      <rPr>
        <b/>
        <sz val="12.65"/>
        <rFont val="Calibri"/>
        <family val="2"/>
      </rPr>
      <t xml:space="preserve">cells </t>
    </r>
    <r>
      <rPr>
        <sz val="11"/>
        <rFont val="Calibri"/>
        <family val="2"/>
        <scheme val="minor"/>
      </rPr>
      <t>are color coded to indicate the following:</t>
    </r>
  </si>
  <si>
    <r>
      <rPr>
        <b/>
        <sz val="12.65"/>
        <rFont val="Calibri"/>
        <family val="2"/>
      </rPr>
      <t xml:space="preserve">     WARNING </t>
    </r>
    <r>
      <rPr>
        <sz val="11"/>
        <rFont val="Calibri"/>
        <family val="2"/>
        <scheme val="minor"/>
      </rPr>
      <t>- these cells are not protected/locked to help users understand the model. Alterations to these cells will affect model results/validity.</t>
    </r>
  </si>
  <si>
    <t>User Input Cell</t>
  </si>
  <si>
    <t>Clinical Recommendation Cell</t>
  </si>
  <si>
    <t>These cells contain clinical recommendations for PHMI implementation. Users should not change the values of these cells.</t>
  </si>
  <si>
    <t>Instruction cell</t>
  </si>
  <si>
    <t>Questions or Feedback on this tool:</t>
  </si>
  <si>
    <t xml:space="preserve">The business case financial model is designed to simulate changes to community health clinic (CHC) staffing and models of care to estimate the resulting financial implications. </t>
  </si>
  <si>
    <t xml:space="preserve">We'd love to hear any questions, feedback, or recommended improvements to this tool. </t>
  </si>
  <si>
    <t>Visits and Panel statistics per PCP</t>
  </si>
  <si>
    <t>This model and the simulations/scenario testing is intended to help guide and facilitate successful operational change under the Population Health Management Imitative (PHMI).</t>
  </si>
  <si>
    <t>Throughout the tabs, there will be different instructions, principles, and commentary to guide the user through the model.</t>
  </si>
  <si>
    <t>This is an estimated PMPM amount under the FQHC APM:</t>
  </si>
  <si>
    <t>Subtotal Quality P4P Core Metrics</t>
  </si>
  <si>
    <t>Subtotal Quality P4P Supplemental Metrics</t>
  </si>
  <si>
    <t>Subtotal P4P Other Metrics</t>
  </si>
  <si>
    <t>Annual Billable Visits/FTE
 (Used for care team simulations if no data is available)</t>
  </si>
  <si>
    <t>PHMI-related ongoing expense beyond direct service staff - CY 2024 to CY 2026</t>
  </si>
  <si>
    <t>Additional Simulated Revenue</t>
  </si>
  <si>
    <t>Additional Simulated Expense</t>
  </si>
  <si>
    <t>Here are the bottom line estimated financial results for the selected models of care. Calculations are found below:</t>
  </si>
  <si>
    <t>Expense Calculations</t>
  </si>
  <si>
    <t>Current Full Care Team Staffing at Participating Clinic Site</t>
  </si>
  <si>
    <t>Average Revenue per Visit</t>
  </si>
  <si>
    <t xml:space="preserve"># Total Visits </t>
  </si>
  <si>
    <t># Visits 
(payment is collected)</t>
  </si>
  <si>
    <t>All Visits</t>
  </si>
  <si>
    <t>Behavioral Health Visits</t>
  </si>
  <si>
    <t>Please list your Medi-Cal health plan partners and your method of reimbursement for direct medical and behavioral health visits (fee-for-service or capitation):</t>
  </si>
  <si>
    <t>Does your clinic plan to participate in the FQHC APM at the same sites that you plan to implement PHMI? If yes, with which health plans?</t>
  </si>
  <si>
    <t>Physical Health Visits</t>
  </si>
  <si>
    <t>Formula or Label Cell</t>
  </si>
  <si>
    <t>Users should not alter these cells as they contain formulas or labels within the model.</t>
  </si>
  <si>
    <t>Formula or Label</t>
  </si>
  <si>
    <t>Then, proceed through the tabs sequentially (i.e., start on |0. Instructions| then move to|1. Staffing and Salary Cost|, etc.).</t>
  </si>
  <si>
    <t>When did the last Prospective Payment Rate (PPS) change in scope for this site occur? Does it represent the current scope of services provided?</t>
  </si>
  <si>
    <t>This should not include Dental visits or non-Prospective Payment System (PPS) revenue such as reimbursement for inpatient care or value-based payments.</t>
  </si>
  <si>
    <t># Unique Patients Seen by a site PCP</t>
  </si>
  <si>
    <r>
      <t xml:space="preserve">Direct Admin - </t>
    </r>
    <r>
      <rPr>
        <b/>
        <sz val="11"/>
        <color theme="1"/>
        <rFont val="Calibri"/>
        <family val="2"/>
      </rPr>
      <t xml:space="preserve">Fixed </t>
    </r>
    <r>
      <rPr>
        <sz val="11"/>
        <color theme="1"/>
        <rFont val="Calibri"/>
        <family val="2"/>
        <scheme val="minor"/>
      </rPr>
      <t>costs (e.g., Rent, facilities, janitorial, supervisors)</t>
    </r>
  </si>
  <si>
    <r>
      <t xml:space="preserve">Direct Admin - </t>
    </r>
    <r>
      <rPr>
        <b/>
        <sz val="11"/>
        <color theme="1"/>
        <rFont val="Calibri"/>
        <family val="2"/>
      </rPr>
      <t xml:space="preserve">Variable </t>
    </r>
    <r>
      <rPr>
        <sz val="11"/>
        <color theme="1"/>
        <rFont val="Calibri"/>
        <family val="2"/>
        <scheme val="minor"/>
      </rPr>
      <t>costs (e.g., Registration and Lab staff, Medical supplies, Lab costs)</t>
    </r>
  </si>
  <si>
    <t>Clinic Site Direct Administration Costs - Fixed and Variable</t>
  </si>
  <si>
    <t>Total Site Administrative Cost per Visit</t>
  </si>
  <si>
    <t>Total Administrative Costs for Clinic Site</t>
  </si>
  <si>
    <t>Incentive Information 
(Across all payers)</t>
  </si>
  <si>
    <t>Insert Payer Name 
(Health Plan/IPA/etc.)</t>
  </si>
  <si>
    <t>Insert Payer Name 
(Health Plan / IPA / etc.)</t>
  </si>
  <si>
    <t>340B Revenue (non-Medi-Cal)</t>
  </si>
  <si>
    <t>Medi-Cal Replacement for Lost 340B Revenue</t>
  </si>
  <si>
    <t>Answer the following question:</t>
  </si>
  <si>
    <t>Inovaccer IT cost support**</t>
  </si>
  <si>
    <t>*Project Grant Support: $480,000 for small CHCs, $600,000 for moderate CHCs, $910,000 for large CHCs over the period of grant.</t>
  </si>
  <si>
    <t>**KP funding for CHCs who are adopting Innovaccer who have IT costs related to PHMI implementation ($270,000 small CHCs, $340,000 moderate CHCs, $400,000 large CHCs).</t>
  </si>
  <si>
    <t>% of maximum visits that were rendered:</t>
  </si>
  <si>
    <t>This tab is used to input anticipated expenses and grant support under PHMI.</t>
  </si>
  <si>
    <t>Input anticipated non-staff expenses under PHMI in the categories below:</t>
  </si>
  <si>
    <t>Input anticipated staff expenses (for FTEs that are not part of a care team) under PHMI in the categories below:</t>
  </si>
  <si>
    <t>PHMI-related non-staff expenses</t>
  </si>
  <si>
    <t>PHMI-related staff expenses 
(staff not on a care team)</t>
  </si>
  <si>
    <t>PHMI-related non-care team staff expenses</t>
  </si>
  <si>
    <t>Input anticipated grant support under PHMI in the categories below:</t>
  </si>
  <si>
    <t>PHMI-related grant support</t>
  </si>
  <si>
    <t>Grant Write-in</t>
  </si>
  <si>
    <t>Grant Support 2023</t>
  </si>
  <si>
    <t>Grant Support 2024</t>
  </si>
  <si>
    <t>Grant Support 2025</t>
  </si>
  <si>
    <t>Grant Support 2026</t>
  </si>
  <si>
    <t>The estimated bottom-line financial impact, based on the user selections, is shown below.</t>
  </si>
  <si>
    <t>Existing # of Full Time Employees (FTE)</t>
  </si>
  <si>
    <t>Existing # of FTEs</t>
  </si>
  <si>
    <t>Existing clinic site care team staffing ratio</t>
  </si>
  <si>
    <t>Existing Care Team staffing 
(Current Clinic Site Information)</t>
  </si>
  <si>
    <t>Here is the existing care team compared to the clinically-recommended care team staffing ratio under PHMI:</t>
  </si>
  <si>
    <t>After reviewing the difference between existing and recommended staffing, the user can simulate different care teams.</t>
  </si>
  <si>
    <t>The user can now explore different staffing options to review scenarios under the clinical recommendation.</t>
  </si>
  <si>
    <t>First, explore potential changes to PCPs under PHMI. Increasing PCPs can drive an increase in billable visits (if there's capacity to accommodate more visits) and increase clinic site panel size.</t>
  </si>
  <si>
    <t>Investigate changes to PCP staffing:</t>
  </si>
  <si>
    <t>PHMI Expanded Care Team Model: 
Staff to 1.0 PCP FTE Ratio</t>
  </si>
  <si>
    <t>Recommended Care Team Staffing Based on input PCP changes</t>
  </si>
  <si>
    <r>
      <rPr>
        <b/>
        <sz val="12"/>
        <rFont val="Calibri"/>
        <family val="2"/>
      </rPr>
      <t xml:space="preserve">User input
</t>
    </r>
    <r>
      <rPr>
        <sz val="12"/>
        <rFont val="Calibri"/>
        <family val="2"/>
        <scheme val="minor"/>
      </rPr>
      <t>Change Care Team Staffing Based on Recommendation</t>
    </r>
  </si>
  <si>
    <t>If PHMI is successful, the number of empaneled-but-not-seen patients will decrease:</t>
  </si>
  <si>
    <t>Section 330 Grant Allocation to Clinic Site</t>
  </si>
  <si>
    <t>Medi-Cal revenue should include that received from the health plans as well the wrap payment.</t>
  </si>
  <si>
    <t xml:space="preserve">Non-Care Team Staff Direct Admin - Fixed costs </t>
  </si>
  <si>
    <t>Non-Care Team Staff Direct Admin - Variable costs</t>
  </si>
  <si>
    <t>Clinical Pharmacist</t>
  </si>
  <si>
    <t xml:space="preserve">Psychiatrist or Psychiatric Mental Health Nurse Practitioner </t>
  </si>
  <si>
    <t>Care Manager/ Program oversight</t>
  </si>
  <si>
    <t>Referral Management/Care Coordinator (MA / layperson / patient navigator)</t>
  </si>
  <si>
    <t>This setting can be changed from the top ribbon: "Formulas" -&gt; "Calculation Options" -&gt; "Automatic".</t>
  </si>
  <si>
    <r>
      <rPr>
        <b/>
        <sz val="14.3"/>
        <rFont val="Calibri"/>
        <family val="2"/>
      </rPr>
      <t xml:space="preserve">Note: </t>
    </r>
    <r>
      <rPr>
        <sz val="11"/>
        <rFont val="Calibri"/>
        <family val="2"/>
        <scheme val="minor"/>
      </rPr>
      <t>Use of this tool is recommended with the "Automatic" calculate option within Excel.</t>
    </r>
  </si>
  <si>
    <t>Triage and clinic oversight</t>
  </si>
  <si>
    <t>Psychiatric consultation</t>
  </si>
  <si>
    <t xml:space="preserve">There are five (6) data input tabs. The data input tab, |5. Historical Financials|, serves as a data check on the input data. </t>
  </si>
  <si>
    <t>The user will go through and input different data and assumptions into these cells. This model is intended to utilize one year of data.</t>
  </si>
  <si>
    <t xml:space="preserve">          members that can increase billable visits and panel size to estimate financial outcomes of staffing changes.</t>
  </si>
  <si>
    <t>This tab contains different input options to modify and review different simulations/scenario tests and the estimated effect to clinic financial performance.</t>
  </si>
  <si>
    <t xml:space="preserve">The process is designed to be iterative: the user will select initial inputs/assumptions, review the estimated financial impact and consider implementation feasibility, </t>
  </si>
  <si>
    <t>Other Grant Funding (allocated to Clinic Site)</t>
  </si>
  <si>
    <t>Medi-Cal and Medicare Revenue for non-PPS services</t>
  </si>
  <si>
    <t>Medi-Cal Specialist Revenue</t>
  </si>
  <si>
    <t>Enhanced Care Management (ECM) Revenue</t>
  </si>
  <si>
    <t>Community Health Worker (CHW) Reimbursement Revenue</t>
  </si>
  <si>
    <t>Does the clinic site anticipate participating in the FQHC APM for Medi-Cal managed care?</t>
  </si>
  <si>
    <t>Are there any anticipated changes to clinic site's staffing and/or salary costs other than those related to the PHMI project?</t>
  </si>
  <si>
    <t>Do you project any significant future changes in the revenue and visit pattern aside from the impact of PHMI?</t>
  </si>
  <si>
    <t>Input data period administrative costs:</t>
  </si>
  <si>
    <t>Please input the clinic site's staffing and salary cost information for the data period, along with the questions below:</t>
  </si>
  <si>
    <t>Updated Total Care Team Cost</t>
  </si>
  <si>
    <t>Revenue Calculations</t>
  </si>
  <si>
    <t>Other Payor Write-in</t>
  </si>
  <si>
    <t>Input the maximum number of annual visits that can accommodated by the clinic site (consider on-site and telehealth visits from a remote location):</t>
  </si>
  <si>
    <t xml:space="preserve">The user will input the requested data for the selected clinic site. </t>
  </si>
  <si>
    <t>The model is designed to use one year of input data. Select the most current available annual data for use in this model. The data period will be reported on tab 1.</t>
  </si>
  <si>
    <t>Incentive Write-ins</t>
  </si>
  <si>
    <t>Are there any significant changes anticipated to the incentive information listed above?</t>
  </si>
  <si>
    <t>What changes will result in the clinic earning more incentive dollars (if applicable)?</t>
  </si>
  <si>
    <t>What is the process for member empanelment and what's the attribution methodology to specific sites? How are unseen patients handled in the process?</t>
  </si>
  <si>
    <t>The net impact on panel size</t>
  </si>
  <si>
    <t>Primary Contracting Arrangement for Medi-Cal patients:</t>
  </si>
  <si>
    <t>Medi-Cal Managed Care - Total Visits</t>
  </si>
  <si>
    <t>Medi-Cal Managed Care - Annual Visits per 1.0 PCP FTE</t>
  </si>
  <si>
    <t xml:space="preserve">Medi-Cal Managed Care - Avg Active Patient Panel Size Per 1.0 PCP FTE (Seen) </t>
  </si>
  <si>
    <t>Medi-Cal Managed Care - Avg Assigned Patient Panel Size Per 1.0 FTE PCP (Seen + Unseen)</t>
  </si>
  <si>
    <t>All Payors - Avg active panel patient size per 1.0 PCP FTE</t>
  </si>
  <si>
    <t>The estimated revenue effect depends on the anticipated contracting arrangements of the CHC. Will the clinic site be participating in the FQHC APM for Medi-Cal managed care?</t>
  </si>
  <si>
    <t>% increase to PPS reimbursement rate</t>
  </si>
  <si>
    <t>Change in cost recognized in PPS Calculation</t>
  </si>
  <si>
    <t>Change in Revenue due to panel size changes (APM structure)</t>
  </si>
  <si>
    <t>Change in Revenue due to increased billable visits (FFS structure)</t>
  </si>
  <si>
    <t>Revenue Change from PPS Scope change (FFS structure)**</t>
  </si>
  <si>
    <t>Revenue Change from PPS Scope change (APM structure)**</t>
  </si>
  <si>
    <t>Calculation for Revenue Change from PPS Scope change (FFS structure)</t>
  </si>
  <si>
    <t>Calculation Details:</t>
  </si>
  <si>
    <t>Impact to PCP panel size due to modified model of care:</t>
  </si>
  <si>
    <t>Impact to PCP panel size due to decrease in assigned-but-not-yet-seen members</t>
  </si>
  <si>
    <t>New site panel size</t>
  </si>
  <si>
    <t>BH Provider (LCSW/MFT or other)</t>
  </si>
  <si>
    <t>Write-in</t>
  </si>
  <si>
    <t xml:space="preserve">Self Management Support &amp; Certified health education specialist (CHES) </t>
  </si>
  <si>
    <t>Community Support Revenue</t>
  </si>
  <si>
    <t>Are Care Team changes anticipated to trigger a scope change in Prospective Payment System (PPS) reimbursement rates?</t>
  </si>
  <si>
    <t xml:space="preserve">Non-licensed BH provider </t>
  </si>
  <si>
    <r>
      <rPr>
        <b/>
        <sz val="12.65"/>
        <rFont val="Calibri"/>
        <family val="2"/>
      </rPr>
      <t xml:space="preserve">     NOTE </t>
    </r>
    <r>
      <rPr>
        <sz val="11"/>
        <rFont val="Calibri"/>
        <family val="2"/>
        <scheme val="minor"/>
      </rPr>
      <t>- Some user input cells have values for illustrative purposes. Users should override these illustrative values with actual clinic figures.</t>
    </r>
  </si>
  <si>
    <t>Core Team subtotal</t>
  </si>
  <si>
    <t>Expanded Team subtotal</t>
  </si>
  <si>
    <t>Total Care Team (Core and Expanded)</t>
  </si>
  <si>
    <t>Maximum # of annual billable PCP visits accommodable by clinic (on-site and telehealth):</t>
  </si>
  <si>
    <t>Active Patient to Staff Ratio with Anticipated Change in % of Assigned Medi-Cal Panel Who are Patients</t>
  </si>
  <si>
    <t>Total Expenses</t>
  </si>
  <si>
    <t>Net impact of grant support to direct non-care team expenses:</t>
  </si>
  <si>
    <t>Grant Support</t>
  </si>
  <si>
    <t>Net Impact 2023</t>
  </si>
  <si>
    <t>Net Impact 2024</t>
  </si>
  <si>
    <t>Net Impact 2025</t>
  </si>
  <si>
    <t>Net Impact 2026</t>
  </si>
  <si>
    <t>Total Net Impact</t>
  </si>
  <si>
    <t>Non-Staff Expenses</t>
  </si>
  <si>
    <t>Ongoing Expenses beyond Direct Service Staff</t>
  </si>
  <si>
    <t>Change in Billable visits from care team modifications</t>
  </si>
  <si>
    <t>Additional assumptions under FQHC APM:</t>
  </si>
  <si>
    <t>Projected billable visits at the clinic*</t>
  </si>
  <si>
    <t>Baseline Revenue 
per Visit</t>
  </si>
  <si>
    <t>Baseline Payor Mix 
(by Visit Count)</t>
  </si>
  <si>
    <t>Projected Payor Mix (by Visit Count)</t>
  </si>
  <si>
    <t>Projected Billable Visits</t>
  </si>
  <si>
    <t>Projected Revenue
per Visit</t>
  </si>
  <si>
    <t>Additional assumptions for future visits and payor mix</t>
  </si>
  <si>
    <t>Change to Payor Mix (+/-)*</t>
  </si>
  <si>
    <t xml:space="preserve">Approximate Average Medicaid Reimbursement PMPM </t>
  </si>
  <si>
    <t>Initial Baseline Total Visits (all payors)</t>
  </si>
  <si>
    <t>Baseline assigned Medi-Cal managed care members (seen and unseen)</t>
  </si>
  <si>
    <t xml:space="preserve">     *For FFS contracting, assumes there is unmet demand for additional visits.</t>
  </si>
  <si>
    <t xml:space="preserve">     **For APM contracting, assumes the % of assigned but not yet seen managed care members remains the same.</t>
  </si>
  <si>
    <t>Net Impact: 
Grant Support to Non-Care Team Expenses:</t>
  </si>
  <si>
    <t>Baseline</t>
  </si>
  <si>
    <t>Projected - 
FFS Scenario</t>
  </si>
  <si>
    <t>Projected - 
APM Scenario</t>
  </si>
  <si>
    <t>Estimated increase in panel due to additional PCPs (seen and unseen)</t>
  </si>
  <si>
    <t>Review how changes above can alter patient-to-staff ratios:</t>
  </si>
  <si>
    <t>Program director</t>
  </si>
  <si>
    <t>Analyst</t>
  </si>
  <si>
    <t>Estimated additional incentives earned with PHMI</t>
  </si>
  <si>
    <t>Historical</t>
  </si>
  <si>
    <t>Projected</t>
  </si>
  <si>
    <t>If additional write-in rows are needed, be sure the "insert" rows so that the formulas remain accurate.</t>
  </si>
  <si>
    <t xml:space="preserve">For Medi-Cal, if a patient received Physical and Behavioral treatment in the same day, only record the revenue and visit in one column. </t>
  </si>
  <si>
    <t>Input revenue and visit data for the reporting period based on date of service, not by when payment was received.</t>
  </si>
  <si>
    <t>CPCA has a recommended methodology for allocation of corporate overhead in their APM modeling tool if helpful.</t>
  </si>
  <si>
    <t>Variable costs are those that are proportionate to patient visit volume.</t>
  </si>
  <si>
    <t>Fixed costs are stable and independent of patient visit volume although there may be a minor dependency on escalating visit volume.</t>
  </si>
  <si>
    <t>Input incentive information - users can input the information by select PHMI measures or by using the write in sections below.</t>
  </si>
  <si>
    <t>When estimating the incremental pay-for-quality revenue, consider the impact of outreach and engagement using the expanded care team on all quality metrics as well as population-specific model of care.</t>
  </si>
  <si>
    <t>MCO Assignment Information</t>
  </si>
  <si>
    <t>Unique Patients Assigned by MCO 
(Seen + Unseen)</t>
  </si>
  <si>
    <t>Unique Active Patients 
Assigned by MCO (Seen)</t>
  </si>
  <si>
    <t xml:space="preserve">Unique Patients Seen-but-not-Assigned-by-MCO </t>
  </si>
  <si>
    <t>Unique Patients Assigned by MCO (Unseen)</t>
  </si>
  <si>
    <t xml:space="preserve">Calculate using Medicaid MCO assignment in the last month of the reporting period. </t>
  </si>
  <si>
    <t>Define Patients Assigned by MCO (Seen) as those in the last month of the reporting period with at least one PCP visit in the preceding 12 months.</t>
  </si>
  <si>
    <t>Input Medi-Cal managed care assignment data for data period:</t>
  </si>
  <si>
    <t>Below is an example of staffing ratios from a high-performing primary care team:</t>
  </si>
  <si>
    <t>This tab compares existing care team composition to the high-performing care team under PHMI.</t>
  </si>
  <si>
    <t>PHMI recommended care team 
(Clinical Recommendations)</t>
  </si>
  <si>
    <t>This recognizes the added staff above and recommends care team composition. The user can then adjust to meet the clinic site needs.</t>
  </si>
  <si>
    <t>PHMI Recommended Care Team</t>
  </si>
  <si>
    <t>Other Staff Type Write-in 1</t>
  </si>
  <si>
    <t>Other Staff Type Write-in 2</t>
  </si>
  <si>
    <t>Other Staff Type Write-in 3</t>
  </si>
  <si>
    <t>Other Staff Type Write-in 4</t>
  </si>
  <si>
    <t>Other Staff Type Write-in 5</t>
  </si>
  <si>
    <t>Other Staff Type Write-in 6</t>
  </si>
  <si>
    <t>Other Staff Type Write-in 7</t>
  </si>
  <si>
    <t>Other Staff Type Write-in 8</t>
  </si>
  <si>
    <t>Other Staff Type Write-in 9</t>
  </si>
  <si>
    <t>Difference:
Recommended - Existing</t>
  </si>
  <si>
    <t>FTEs for clinic site based on recommended staffing ratio</t>
  </si>
  <si>
    <t xml:space="preserve">|8. Care Team Simulation| shows the current clinic staffing ratios relative to the recommended ratios for PHMI utilization. The user can simulate adding staff </t>
  </si>
  <si>
    <t>This model contains the clinical recommendation from the high-performing example care team:</t>
  </si>
  <si>
    <t xml:space="preserve">|7. PHMI Clinical Recommendation| outlines the patient-to-staff and staff-to-PCP ratios recommended for PHMI implementation. </t>
  </si>
  <si>
    <t>2023*</t>
  </si>
  <si>
    <t>CY 2023</t>
  </si>
  <si>
    <t xml:space="preserve">CY 2024 </t>
  </si>
  <si>
    <t xml:space="preserve">CY 2025 </t>
  </si>
  <si>
    <t xml:space="preserve">CY 2026 </t>
  </si>
  <si>
    <t>Are changes anticipated to the PPS scope?*</t>
  </si>
  <si>
    <t>**PPS Scope increase modeled to occur in CY 2025 based on care team expansion costs in CY 2024.</t>
  </si>
  <si>
    <t>What data period is reported in the Business Plan Tool (e.g., calendar year 2022, fiscal year 21-22)? 
The model trend application assumes a CY 2022 reporting period. If different data is used please adjust initial trend assumptions. See tab 2. for more information.</t>
  </si>
  <si>
    <t>*Potential considerations include: Medi-Cal redeterminations and disenrollments, Medi-Cal eligibility expanded to undocumented adults, economic conditions, expanded community outreach by care team</t>
  </si>
  <si>
    <t xml:space="preserve">Change in Care Team Costs per Selections above </t>
  </si>
  <si>
    <t>Anticipated revenue trend factors:</t>
  </si>
  <si>
    <t>Anticipated staff cost trend factors:</t>
  </si>
  <si>
    <t>Anticipated administrative cost trend factors:</t>
  </si>
  <si>
    <r>
      <t xml:space="preserve">Input anticipated </t>
    </r>
    <r>
      <rPr>
        <b/>
        <u/>
        <sz val="14"/>
        <color theme="8" tint="-0.249977111117893"/>
        <rFont val="Calibri"/>
        <family val="2"/>
      </rPr>
      <t>staff cost</t>
    </r>
    <r>
      <rPr>
        <b/>
        <sz val="14"/>
        <color theme="8" tint="-0.249977111117893"/>
        <rFont val="Calibri"/>
        <family val="2"/>
        <scheme val="minor"/>
      </rPr>
      <t xml:space="preserve"> trend factors (anticipated pay raises, cost of living adjustments for inflation, etc.), include anticipated impacts of SB 525 (minimum wage increase for health care workers):</t>
    </r>
  </si>
  <si>
    <r>
      <t xml:space="preserve">Input anticipated </t>
    </r>
    <r>
      <rPr>
        <b/>
        <u/>
        <sz val="14"/>
        <color theme="8" tint="-0.249977111117893"/>
        <rFont val="Calibri"/>
        <family val="2"/>
      </rPr>
      <t xml:space="preserve">administrative cost </t>
    </r>
    <r>
      <rPr>
        <b/>
        <sz val="14"/>
        <color theme="8" tint="-0.249977111117893"/>
        <rFont val="Calibri"/>
        <family val="2"/>
        <scheme val="minor"/>
      </rPr>
      <t>trend factors (inflation, anticipated changes to facility costs, anticipated changes to HR costs, etc.):</t>
    </r>
  </si>
  <si>
    <t>Increase in Administrative Costs due to Increased Visits</t>
  </si>
  <si>
    <t>Staff Cost Trend Increases for Baseline Care Team Staffing Costs</t>
  </si>
  <si>
    <t>Administrative Trend Increases for Baseline Administrative Costs</t>
  </si>
  <si>
    <t>Trend Increases for Baseline Revenue</t>
  </si>
  <si>
    <t>Cost Included in PPS calculation?</t>
  </si>
  <si>
    <t>Simulated Cost per Visit Calculations included in PPS Rebase</t>
  </si>
  <si>
    <t>Baseline 
Cost per Visit
(from CHC data)</t>
  </si>
  <si>
    <t>Simulated 
Cost per Visit
(Changes to Care Team and # of Visits above)</t>
  </si>
  <si>
    <t>Simulated 
Cost per Visit
(Limited to Care Team costs included in PPS rebase calc)</t>
  </si>
  <si>
    <t>Simulated Cost per Visit 
(for PPS rebase) 
Trended to CY 2024</t>
  </si>
  <si>
    <t>Costs per Visit Component</t>
  </si>
  <si>
    <t>PPS rate Trended to CY 2024</t>
  </si>
  <si>
    <t>Simulated Cost per Visit (included in PPS rebase) Trended to CY 2024</t>
  </si>
  <si>
    <t>Baseline PPS rate (from reported Medi-Cal managed care and FFS data)</t>
  </si>
  <si>
    <t>Change recognized in PPS rebase calculation</t>
  </si>
  <si>
    <t xml:space="preserve">Trended Cost per Visit less PPS rate </t>
  </si>
  <si>
    <t>Existing Physical Health Billable Visits</t>
  </si>
  <si>
    <t>FFS</t>
  </si>
  <si>
    <t>Increase to billable visits per PCP from model of care changes</t>
  </si>
  <si>
    <r>
      <t xml:space="preserve">Input anticipated </t>
    </r>
    <r>
      <rPr>
        <b/>
        <u/>
        <sz val="14"/>
        <color theme="8" tint="-0.249977111117893"/>
        <rFont val="Calibri"/>
        <family val="2"/>
      </rPr>
      <t>revenue</t>
    </r>
    <r>
      <rPr>
        <b/>
        <sz val="14"/>
        <color theme="8" tint="-0.249977111117893"/>
        <rFont val="Calibri"/>
        <family val="2"/>
        <scheme val="minor"/>
      </rPr>
      <t xml:space="preserve"> trend factors (PPS trend increase, anticipated contract changes, etc.), do NOT include impacts from PPS scope changes:</t>
    </r>
  </si>
  <si>
    <t>*If data period is not CY 2022, adjust this trend factor to align baseline data to CY 2023</t>
  </si>
  <si>
    <t>Incentive Dollars Earned</t>
  </si>
  <si>
    <t>Incentive Dollars Not Earned</t>
  </si>
  <si>
    <r>
      <t xml:space="preserve">Estimated </t>
    </r>
    <r>
      <rPr>
        <u/>
        <sz val="12"/>
        <rFont val="Calibri"/>
        <family val="2"/>
      </rPr>
      <t>additional</t>
    </r>
    <r>
      <rPr>
        <sz val="12"/>
        <rFont val="Calibri"/>
        <family val="2"/>
        <scheme val="minor"/>
      </rPr>
      <t xml:space="preserve"> incentive dollars earned through care team &amp; model of care changes</t>
    </r>
  </si>
  <si>
    <t>Historical*</t>
  </si>
  <si>
    <t>Review the historical/baseline income statement information to confirm the accuracy of the reported data.</t>
  </si>
  <si>
    <t>CY 2022</t>
  </si>
  <si>
    <t>CY 2024</t>
  </si>
  <si>
    <t>CY 2025</t>
  </si>
  <si>
    <t>CY 2026</t>
  </si>
  <si>
    <t>Simulated Change in Profit/Loss</t>
  </si>
  <si>
    <t>Simulated TOTAL Profit/Loss</t>
  </si>
  <si>
    <t xml:space="preserve">*Does the historical financial information above align with site specific financials? </t>
  </si>
  <si>
    <t>Site Direct and Corporate Administration Costs</t>
  </si>
  <si>
    <t>Projected columns pull in simulated changes from other places in the model. Overriding "Yellow" formulas may break model results.</t>
  </si>
  <si>
    <t>The input tabs in the Projected columns allow clinics to account for changes to grant funding, CalAIM initiatives and other ad hoc items.</t>
  </si>
  <si>
    <t>Evidence-based behavioral health care</t>
  </si>
  <si>
    <t>Please contact your assigned Health Management Association Inc, (HMA) PHMI Practice Coach or assigned subject matter expert. Please reference your model version number (V24).</t>
  </si>
  <si>
    <t>Approximate Average Medicaid Reimbursement PMPM (Managed Care Visits x PPS / member months)</t>
  </si>
  <si>
    <t xml:space="preserve">     *If set to "Yes", this model assumes a PPS Scope increase in CY 2025 based on care team expansion costs in CY 2024. PPS scope changes are determined by DHCS and require a triggering event. This tool does not include dental costs which may affect final PPS scope updates.</t>
  </si>
  <si>
    <t>Model version 24 updates - 2023.10.27</t>
  </si>
  <si>
    <t>V24 of the business case tool has the following updates:</t>
  </si>
  <si>
    <t>Please note: if the reporting period for the clinic is NOT CY 2022, the initial trend assumptions will need to be adjusted to align to the CY 2023 projection period.</t>
  </si>
  <si>
    <t>Other updates:</t>
  </si>
  <si>
    <t>Some models had a potential double counting in the “Total Profit/Loss” calculation on tab 8. Care Team Simulation. This has been updated.</t>
  </si>
  <si>
    <t>Tab 8. Care Team Simulation has updated the formula to forecast additional BH visits from adding care team staffing.</t>
  </si>
  <si>
    <t xml:space="preserve">The model has had placeholders and write-in inputs added throughout the model (e.g., care team staffing write-ins on 1. Staffing and Salary Cost) to provide flexibility for CHC inputs. </t>
  </si>
  <si>
    <t>There are minor label updates throughout the model.</t>
  </si>
  <si>
    <r>
      <rPr>
        <b/>
        <sz val="11"/>
        <rFont val="Calibri"/>
        <family val="2"/>
      </rPr>
      <t xml:space="preserve">Tab 5. Historical Financials has been updated </t>
    </r>
    <r>
      <rPr>
        <sz val="11"/>
        <rFont val="Calibri"/>
        <family val="2"/>
        <scheme val="minor"/>
      </rPr>
      <t>to allow clinics to better forecast CY 2023 through CY 2026. There are minor calculation updates to incorporate new trend elements and new CHC inputs areas for revenue and expense line items.</t>
    </r>
  </si>
  <si>
    <r>
      <rPr>
        <b/>
        <sz val="11"/>
        <rFont val="Calibri"/>
        <family val="2"/>
      </rPr>
      <t xml:space="preserve">Refinement to trend calculations </t>
    </r>
    <r>
      <rPr>
        <sz val="11"/>
        <rFont val="Calibri"/>
        <family val="2"/>
        <scheme val="minor"/>
      </rPr>
      <t>throughout the model to help CHCs forecast the financial impacts of SB 525 (minimum wage increases for health care workers). All trends inputs are now included on Tab 2. Users, Visits, Revenue. Staff cost trend has been relocated from tab 6. The model has a new input for admin trend to differentiate from higher care team staffing trends. There are minor formula changes throughout the model to align trend calculations. The PPS scope calculation details (on tab 8. Care Team Simulation) are refined to now include trend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</si>
</sst>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409]* #,##0_);_([$$-409]* \(#,##0\);_([$$-409]* &quot;-&quot;??_);_(@_)"/>
    <numFmt numFmtId="166" formatCode="_([$$-409]* #,##0.00_);_([$$-409]* \(#,##0.00\);_([$$-409]* &quot;-&quot;??_);_(@_)"/>
    <numFmt numFmtId="167" formatCode="0.0%"/>
    <numFmt numFmtId="168" formatCode="&quot;$&quot;#,##0"/>
  </numFmts>
  <fonts count="26" x14ac:knownFonts="1">
    <font>
      <sz val="11"/>
      <color theme="1"/>
      <name val="Calibri"/>
      <family val="2"/>
      <scheme val="minor"/>
    </font>
    <font>
      <b/>
      <sz val="11"/>
      <color theme="1"/>
      <name val="Calibri"/>
      <family val="2"/>
      <scheme val="minor"/>
    </font>
    <font>
      <sz val="11"/>
      <color rgb="FFC00000"/>
      <name val="Calibri"/>
      <family val="2"/>
      <scheme val="minor"/>
    </font>
    <font>
      <sz val="11"/>
      <color theme="1"/>
      <name val="Calibri"/>
      <family val="2"/>
      <scheme val="minor"/>
    </font>
    <font>
      <b/>
      <sz val="18"/>
      <color rgb="FF00A4CA"/>
      <name val="Calibri"/>
      <family val="2"/>
      <scheme val="minor"/>
    </font>
    <font>
      <b/>
      <sz val="14"/>
      <name val="Calibri"/>
      <family val="2"/>
      <scheme val="minor"/>
    </font>
    <font>
      <sz val="12"/>
      <name val="Calibri"/>
      <family val="2"/>
      <scheme val="minor"/>
    </font>
    <font>
      <b/>
      <sz val="24"/>
      <color theme="8" tint="-0.249977111117893"/>
      <name val="Calibri"/>
      <family val="2"/>
      <scheme val="minor"/>
    </font>
    <font>
      <b/>
      <sz val="12"/>
      <name val="Calibri"/>
      <family val="2"/>
      <scheme val="minor"/>
    </font>
    <font>
      <b/>
      <sz val="20"/>
      <color theme="8" tint="-0.249977111117893"/>
      <name val="Calibri"/>
      <family val="2"/>
      <scheme val="minor"/>
    </font>
    <font>
      <b/>
      <sz val="16"/>
      <color theme="8" tint="-0.249977111117893"/>
      <name val="Calibri"/>
      <family val="2"/>
      <scheme val="minor"/>
    </font>
    <font>
      <sz val="11"/>
      <name val="Calibri"/>
      <family val="2"/>
      <scheme val="minor"/>
    </font>
    <font>
      <b/>
      <sz val="11"/>
      <name val="Calibri"/>
      <family val="2"/>
      <scheme val="minor"/>
    </font>
    <font>
      <b/>
      <sz val="14"/>
      <color theme="8" tint="-0.249977111117893"/>
      <name val="Calibri"/>
      <family val="2"/>
      <scheme val="minor"/>
    </font>
    <font>
      <i/>
      <sz val="11"/>
      <color theme="1"/>
      <name val="Calibri"/>
      <family val="2"/>
      <scheme val="minor"/>
    </font>
    <font>
      <b/>
      <sz val="11"/>
      <color theme="1"/>
      <name val="Calibri"/>
      <family val="2"/>
    </font>
    <font>
      <b/>
      <sz val="12.65"/>
      <name val="Calibri"/>
      <family val="2"/>
    </font>
    <font>
      <b/>
      <sz val="11"/>
      <color theme="8" tint="-0.249977111117893"/>
      <name val="Calibri"/>
      <family val="2"/>
      <scheme val="minor"/>
    </font>
    <font>
      <b/>
      <sz val="12"/>
      <name val="Calibri"/>
      <family val="2"/>
    </font>
    <font>
      <b/>
      <sz val="14"/>
      <color rgb="FF0070C0"/>
      <name val="Calibri"/>
      <family val="2"/>
      <scheme val="minor"/>
    </font>
    <font>
      <sz val="14"/>
      <color theme="1"/>
      <name val="Calibri"/>
      <family val="2"/>
      <scheme val="minor"/>
    </font>
    <font>
      <b/>
      <sz val="14.3"/>
      <name val="Calibri"/>
      <family val="2"/>
    </font>
    <font>
      <b/>
      <sz val="11"/>
      <color rgb="FFFF0000"/>
      <name val="Calibri"/>
      <family val="2"/>
      <scheme val="minor"/>
    </font>
    <font>
      <b/>
      <u/>
      <sz val="14"/>
      <color theme="8" tint="-0.249977111117893"/>
      <name val="Calibri"/>
      <family val="2"/>
    </font>
    <font>
      <u/>
      <sz val="12"/>
      <name val="Calibri"/>
      <family val="2"/>
    </font>
    <font>
      <b/>
      <sz val="11"/>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8CBAD"/>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theme="0" tint="-0.24994659260841701"/>
      </bottom>
      <diagonal/>
    </border>
    <border>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indexed="64"/>
      </left>
      <right style="thin">
        <color indexed="64"/>
      </right>
      <top/>
      <bottom/>
      <diagonal/>
    </border>
    <border>
      <left style="thin">
        <color indexed="64"/>
      </left>
      <right style="thin">
        <color indexed="64"/>
      </right>
      <top style="thin">
        <color theme="0" tint="-0.2499465926084170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0" tint="-0.24994659260841701"/>
      </top>
      <bottom style="double">
        <color indexed="64"/>
      </bottom>
      <diagonal/>
    </border>
    <border>
      <left style="medium">
        <color indexed="64"/>
      </left>
      <right/>
      <top style="medium">
        <color indexed="64"/>
      </top>
      <bottom/>
      <diagonal/>
    </border>
    <border>
      <left style="medium">
        <color indexed="64"/>
      </left>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style="thin">
        <color indexed="64"/>
      </right>
      <top style="thin">
        <color theme="0" tint="-0.24994659260841701"/>
      </top>
      <bottom/>
      <diagonal/>
    </border>
    <border>
      <left/>
      <right style="thin">
        <color indexed="64"/>
      </right>
      <top/>
      <bottom style="thin">
        <color theme="0" tint="-0.24994659260841701"/>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49">
    <xf numFmtId="0" fontId="0" fillId="0" borderId="0" xfId="0"/>
    <xf numFmtId="0" fontId="2" fillId="0" borderId="0" xfId="0" applyFont="1"/>
    <xf numFmtId="164" fontId="0" fillId="0" borderId="0" xfId="0" applyNumberFormat="1"/>
    <xf numFmtId="0" fontId="4" fillId="0" borderId="0" xfId="0" applyFont="1"/>
    <xf numFmtId="0" fontId="5" fillId="0" borderId="0" xfId="0" applyFont="1"/>
    <xf numFmtId="0" fontId="6" fillId="5" borderId="1" xfId="0" applyFont="1" applyFill="1" applyBorder="1" applyAlignment="1">
      <alignment horizontal="center" vertical="center" wrapText="1"/>
    </xf>
    <xf numFmtId="0" fontId="0" fillId="4" borderId="2" xfId="0" applyFill="1" applyBorder="1" applyAlignment="1">
      <alignment horizontal="left"/>
    </xf>
    <xf numFmtId="0" fontId="7" fillId="0" borderId="0" xfId="0" applyFont="1"/>
    <xf numFmtId="9" fontId="0" fillId="3" borderId="2" xfId="2" applyFont="1" applyFill="1" applyBorder="1" applyAlignment="1">
      <alignment horizontal="center"/>
    </xf>
    <xf numFmtId="9" fontId="0" fillId="6" borderId="1" xfId="2" applyFont="1" applyFill="1" applyBorder="1" applyAlignment="1">
      <alignment horizontal="center"/>
    </xf>
    <xf numFmtId="9" fontId="0" fillId="4" borderId="2" xfId="2" applyFont="1" applyFill="1" applyBorder="1" applyAlignment="1">
      <alignment horizontal="center"/>
    </xf>
    <xf numFmtId="43" fontId="0" fillId="4" borderId="2" xfId="1" applyFont="1" applyFill="1" applyBorder="1" applyAlignment="1">
      <alignment horizontal="left"/>
    </xf>
    <xf numFmtId="164" fontId="0" fillId="4" borderId="2" xfId="1" applyNumberFormat="1" applyFont="1" applyFill="1" applyBorder="1" applyAlignment="1">
      <alignment horizontal="left"/>
    </xf>
    <xf numFmtId="166" fontId="0" fillId="4" borderId="2" xfId="0" applyNumberFormat="1" applyFill="1" applyBorder="1" applyAlignment="1">
      <alignment horizontal="left"/>
    </xf>
    <xf numFmtId="165" fontId="0" fillId="4" borderId="2" xfId="0" applyNumberFormat="1" applyFill="1" applyBorder="1" applyAlignment="1">
      <alignment horizontal="left"/>
    </xf>
    <xf numFmtId="43" fontId="0" fillId="3" borderId="2" xfId="1" applyFont="1" applyFill="1" applyBorder="1" applyAlignment="1">
      <alignment horizontal="left"/>
    </xf>
    <xf numFmtId="164" fontId="0" fillId="3" borderId="2" xfId="1" applyNumberFormat="1" applyFont="1" applyFill="1" applyBorder="1" applyAlignment="1">
      <alignment horizontal="left"/>
    </xf>
    <xf numFmtId="164" fontId="0" fillId="6" borderId="1" xfId="1" applyNumberFormat="1" applyFont="1" applyFill="1" applyBorder="1" applyAlignment="1">
      <alignment horizontal="left"/>
    </xf>
    <xf numFmtId="0" fontId="0" fillId="4" borderId="3" xfId="0" applyFill="1" applyBorder="1" applyAlignment="1">
      <alignment horizontal="left"/>
    </xf>
    <xf numFmtId="0" fontId="0" fillId="4" borderId="6" xfId="0" applyFill="1" applyBorder="1" applyAlignment="1">
      <alignment horizontal="left"/>
    </xf>
    <xf numFmtId="164" fontId="0" fillId="3" borderId="7" xfId="1" applyNumberFormat="1" applyFont="1" applyFill="1" applyBorder="1" applyAlignment="1">
      <alignment horizontal="left"/>
    </xf>
    <xf numFmtId="0" fontId="0" fillId="4" borderId="8" xfId="0" applyFill="1" applyBorder="1" applyAlignment="1">
      <alignment horizontal="left"/>
    </xf>
    <xf numFmtId="164" fontId="0" fillId="4" borderId="10" xfId="1" applyNumberFormat="1" applyFont="1" applyFill="1" applyBorder="1" applyAlignment="1">
      <alignment horizontal="left"/>
    </xf>
    <xf numFmtId="0" fontId="6" fillId="5" borderId="1" xfId="0" applyFont="1" applyFill="1" applyBorder="1" applyAlignment="1">
      <alignment horizontal="centerContinuous" vertical="center" wrapText="1"/>
    </xf>
    <xf numFmtId="0" fontId="0" fillId="4" borderId="7" xfId="0" applyFill="1" applyBorder="1" applyAlignment="1">
      <alignment horizontal="left"/>
    </xf>
    <xf numFmtId="0" fontId="0" fillId="4" borderId="10" xfId="0" applyFill="1" applyBorder="1" applyAlignment="1">
      <alignment horizontal="left"/>
    </xf>
    <xf numFmtId="9" fontId="0" fillId="4" borderId="10" xfId="2" applyFont="1" applyFill="1" applyBorder="1" applyAlignment="1">
      <alignment horizontal="center"/>
    </xf>
    <xf numFmtId="166" fontId="0" fillId="4" borderId="10" xfId="0" applyNumberFormat="1" applyFill="1" applyBorder="1" applyAlignment="1">
      <alignment horizontal="left"/>
    </xf>
    <xf numFmtId="166" fontId="0" fillId="4" borderId="7" xfId="0" applyNumberFormat="1" applyFill="1" applyBorder="1" applyAlignment="1">
      <alignment horizontal="left"/>
    </xf>
    <xf numFmtId="0" fontId="8" fillId="5" borderId="1" xfId="0" applyFont="1" applyFill="1" applyBorder="1" applyAlignment="1">
      <alignment horizontal="centerContinuous" vertical="center" wrapText="1"/>
    </xf>
    <xf numFmtId="0" fontId="0" fillId="4" borderId="14" xfId="0" applyFill="1" applyBorder="1" applyAlignment="1">
      <alignment horizontal="left"/>
    </xf>
    <xf numFmtId="165" fontId="0" fillId="6" borderId="1" xfId="1" applyNumberFormat="1" applyFont="1" applyFill="1" applyBorder="1" applyAlignment="1">
      <alignment horizontal="left"/>
    </xf>
    <xf numFmtId="164" fontId="0" fillId="2" borderId="2" xfId="1" applyNumberFormat="1" applyFont="1" applyFill="1" applyBorder="1" applyAlignment="1">
      <alignment horizontal="left"/>
    </xf>
    <xf numFmtId="43" fontId="0" fillId="3" borderId="7" xfId="1" applyFont="1" applyFill="1" applyBorder="1" applyAlignment="1">
      <alignment horizontal="left"/>
    </xf>
    <xf numFmtId="0" fontId="0" fillId="4" borderId="16" xfId="0" applyFill="1" applyBorder="1" applyAlignment="1">
      <alignment horizontal="left"/>
    </xf>
    <xf numFmtId="43" fontId="0" fillId="4" borderId="1" xfId="1" applyFont="1" applyFill="1" applyBorder="1" applyAlignment="1">
      <alignment horizontal="left"/>
    </xf>
    <xf numFmtId="164" fontId="0" fillId="4" borderId="1" xfId="1" applyNumberFormat="1" applyFont="1" applyFill="1" applyBorder="1" applyAlignment="1">
      <alignment horizontal="left"/>
    </xf>
    <xf numFmtId="164" fontId="0" fillId="7" borderId="2" xfId="1" applyNumberFormat="1" applyFont="1" applyFill="1" applyBorder="1" applyAlignment="1">
      <alignment horizontal="left"/>
    </xf>
    <xf numFmtId="165" fontId="0" fillId="4" borderId="14" xfId="0" applyNumberFormat="1" applyFill="1" applyBorder="1" applyAlignment="1">
      <alignment horizontal="left"/>
    </xf>
    <xf numFmtId="166" fontId="0" fillId="4" borderId="14" xfId="0" applyNumberFormat="1" applyFill="1" applyBorder="1" applyAlignment="1">
      <alignment horizontal="left"/>
    </xf>
    <xf numFmtId="165" fontId="0" fillId="4" borderId="15" xfId="0" applyNumberFormat="1" applyFill="1" applyBorder="1" applyAlignment="1">
      <alignment horizontal="left"/>
    </xf>
    <xf numFmtId="166" fontId="0" fillId="4" borderId="15" xfId="0" applyNumberFormat="1" applyFill="1" applyBorder="1" applyAlignment="1">
      <alignment horizontal="left"/>
    </xf>
    <xf numFmtId="0" fontId="0" fillId="4" borderId="13" xfId="0" applyFill="1" applyBorder="1" applyAlignment="1">
      <alignment horizontal="left"/>
    </xf>
    <xf numFmtId="43" fontId="0" fillId="3" borderId="1" xfId="1" applyFont="1" applyFill="1" applyBorder="1" applyAlignment="1">
      <alignment horizontal="center"/>
    </xf>
    <xf numFmtId="0" fontId="0" fillId="4" borderId="11" xfId="0" applyFill="1" applyBorder="1" applyAlignment="1">
      <alignment horizontal="left"/>
    </xf>
    <xf numFmtId="164" fontId="0" fillId="4" borderId="14" xfId="1" applyNumberFormat="1" applyFont="1" applyFill="1" applyBorder="1" applyAlignment="1">
      <alignment horizontal="left"/>
    </xf>
    <xf numFmtId="0" fontId="0" fillId="4" borderId="19" xfId="0" applyFill="1" applyBorder="1" applyAlignment="1">
      <alignment horizontal="left"/>
    </xf>
    <xf numFmtId="0" fontId="0" fillId="4" borderId="5" xfId="0" applyFill="1" applyBorder="1" applyAlignment="1">
      <alignment horizontal="left"/>
    </xf>
    <xf numFmtId="0" fontId="0" fillId="4" borderId="20" xfId="0" applyFill="1" applyBorder="1" applyAlignment="1">
      <alignment horizontal="left"/>
    </xf>
    <xf numFmtId="164" fontId="0" fillId="4" borderId="4" xfId="1" applyNumberFormat="1" applyFont="1" applyFill="1" applyBorder="1" applyAlignment="1">
      <alignment horizontal="left"/>
    </xf>
    <xf numFmtId="164" fontId="0" fillId="4" borderId="9" xfId="1" applyNumberFormat="1" applyFont="1" applyFill="1" applyBorder="1" applyAlignment="1">
      <alignment horizontal="left"/>
    </xf>
    <xf numFmtId="0" fontId="9" fillId="0" borderId="0" xfId="0" applyFont="1"/>
    <xf numFmtId="0" fontId="10" fillId="0" borderId="0" xfId="0" applyFont="1"/>
    <xf numFmtId="165" fontId="0" fillId="3" borderId="1" xfId="0" applyNumberFormat="1" applyFill="1" applyBorder="1" applyAlignment="1">
      <alignment horizontal="center"/>
    </xf>
    <xf numFmtId="0" fontId="0" fillId="4" borderId="1" xfId="0" applyFill="1" applyBorder="1" applyAlignment="1">
      <alignment horizontal="center"/>
    </xf>
    <xf numFmtId="164" fontId="0" fillId="2" borderId="1" xfId="1" applyNumberFormat="1" applyFont="1" applyFill="1" applyBorder="1" applyAlignment="1">
      <alignment horizontal="center"/>
    </xf>
    <xf numFmtId="164" fontId="0" fillId="2" borderId="14" xfId="1" applyNumberFormat="1" applyFont="1" applyFill="1" applyBorder="1" applyAlignment="1">
      <alignment horizontal="left"/>
    </xf>
    <xf numFmtId="164" fontId="0" fillId="0" borderId="21" xfId="1" applyNumberFormat="1" applyFont="1" applyFill="1" applyBorder="1" applyAlignment="1">
      <alignment horizontal="left"/>
    </xf>
    <xf numFmtId="43" fontId="0" fillId="0" borderId="21" xfId="1" applyFont="1" applyFill="1" applyBorder="1" applyAlignment="1">
      <alignment horizontal="left"/>
    </xf>
    <xf numFmtId="43" fontId="0" fillId="6" borderId="2" xfId="1" applyFont="1" applyFill="1" applyBorder="1" applyAlignment="1">
      <alignment horizontal="left"/>
    </xf>
    <xf numFmtId="43" fontId="0" fillId="6" borderId="14" xfId="1" applyFont="1" applyFill="1" applyBorder="1" applyAlignment="1">
      <alignment horizontal="left"/>
    </xf>
    <xf numFmtId="165" fontId="0" fillId="3" borderId="2" xfId="0" applyNumberFormat="1" applyFill="1" applyBorder="1" applyAlignment="1">
      <alignment horizontal="left"/>
    </xf>
    <xf numFmtId="165" fontId="0" fillId="6" borderId="1" xfId="0" applyNumberFormat="1" applyFill="1" applyBorder="1" applyAlignment="1">
      <alignment horizontal="left"/>
    </xf>
    <xf numFmtId="165" fontId="0" fillId="3" borderId="7" xfId="0" applyNumberFormat="1" applyFill="1" applyBorder="1" applyAlignment="1">
      <alignment horizontal="left"/>
    </xf>
    <xf numFmtId="165" fontId="0" fillId="4" borderId="7" xfId="0" applyNumberFormat="1" applyFill="1" applyBorder="1" applyAlignment="1">
      <alignment horizontal="left"/>
    </xf>
    <xf numFmtId="165" fontId="0" fillId="4" borderId="1" xfId="0" applyNumberFormat="1" applyFill="1" applyBorder="1" applyAlignment="1">
      <alignment horizontal="left"/>
    </xf>
    <xf numFmtId="165" fontId="0" fillId="3" borderId="10" xfId="0" applyNumberFormat="1" applyFill="1" applyBorder="1" applyAlignment="1">
      <alignment horizontal="left"/>
    </xf>
    <xf numFmtId="0" fontId="0" fillId="6" borderId="1" xfId="0" applyFill="1" applyBorder="1" applyAlignment="1">
      <alignment horizontal="left"/>
    </xf>
    <xf numFmtId="0" fontId="1" fillId="4" borderId="17" xfId="0" applyFont="1" applyFill="1" applyBorder="1" applyAlignment="1">
      <alignment horizontal="left"/>
    </xf>
    <xf numFmtId="166" fontId="1" fillId="4" borderId="18" xfId="0" applyNumberFormat="1" applyFont="1" applyFill="1" applyBorder="1" applyAlignment="1">
      <alignment horizontal="left"/>
    </xf>
    <xf numFmtId="168" fontId="0" fillId="0" borderId="0" xfId="0" applyNumberFormat="1"/>
    <xf numFmtId="0" fontId="11" fillId="0" borderId="0" xfId="0" applyFont="1"/>
    <xf numFmtId="165" fontId="0" fillId="3" borderId="21" xfId="0" applyNumberFormat="1" applyFill="1" applyBorder="1" applyAlignment="1">
      <alignment horizontal="left"/>
    </xf>
    <xf numFmtId="0" fontId="0" fillId="4" borderId="2" xfId="0" applyFill="1" applyBorder="1" applyAlignment="1">
      <alignment horizontal="left" wrapText="1"/>
    </xf>
    <xf numFmtId="43" fontId="0" fillId="2" borderId="2" xfId="1" applyFont="1" applyFill="1" applyBorder="1" applyAlignment="1">
      <alignment horizontal="left"/>
    </xf>
    <xf numFmtId="0" fontId="13" fillId="0" borderId="0" xfId="0" applyFont="1"/>
    <xf numFmtId="0" fontId="0" fillId="0" borderId="0" xfId="0" applyAlignment="1">
      <alignment horizontal="centerContinuous" wrapText="1"/>
    </xf>
    <xf numFmtId="0" fontId="6" fillId="0" borderId="0" xfId="0" applyFont="1" applyAlignment="1">
      <alignment horizontal="left" vertical="center" wrapText="1"/>
    </xf>
    <xf numFmtId="165" fontId="0" fillId="0" borderId="0" xfId="0" applyNumberFormat="1" applyAlignment="1">
      <alignment horizontal="left"/>
    </xf>
    <xf numFmtId="0" fontId="1" fillId="0" borderId="21" xfId="0" applyFont="1" applyBorder="1" applyAlignment="1">
      <alignment horizontal="left"/>
    </xf>
    <xf numFmtId="165" fontId="0" fillId="0" borderId="2" xfId="0" applyNumberFormat="1" applyBorder="1" applyAlignment="1">
      <alignment horizontal="left"/>
    </xf>
    <xf numFmtId="0" fontId="6" fillId="0" borderId="22" xfId="0" applyFont="1" applyBorder="1" applyAlignment="1">
      <alignment horizontal="left" vertical="center" wrapText="1"/>
    </xf>
    <xf numFmtId="0" fontId="8" fillId="6" borderId="1" xfId="0" applyFont="1" applyFill="1" applyBorder="1" applyAlignment="1">
      <alignment horizontal="left" vertical="center" wrapText="1"/>
    </xf>
    <xf numFmtId="0" fontId="8" fillId="5" borderId="17" xfId="0" applyFont="1" applyFill="1" applyBorder="1" applyAlignment="1">
      <alignment horizontal="center" vertical="center" wrapText="1"/>
    </xf>
    <xf numFmtId="165" fontId="1" fillId="6" borderId="26" xfId="0" applyNumberFormat="1" applyFont="1" applyFill="1" applyBorder="1" applyAlignment="1">
      <alignment horizontal="left"/>
    </xf>
    <xf numFmtId="165" fontId="1" fillId="6" borderId="18" xfId="0" applyNumberFormat="1" applyFont="1" applyFill="1" applyBorder="1" applyAlignment="1">
      <alignment horizontal="left"/>
    </xf>
    <xf numFmtId="164" fontId="0" fillId="3" borderId="21" xfId="1" applyNumberFormat="1" applyFont="1" applyFill="1" applyBorder="1" applyAlignment="1">
      <alignment horizontal="left"/>
    </xf>
    <xf numFmtId="165" fontId="0" fillId="3" borderId="21" xfId="1" applyNumberFormat="1" applyFont="1" applyFill="1" applyBorder="1" applyAlignment="1">
      <alignment horizontal="left"/>
    </xf>
    <xf numFmtId="165" fontId="0" fillId="3" borderId="2" xfId="1" applyNumberFormat="1" applyFont="1" applyFill="1" applyBorder="1" applyAlignment="1">
      <alignment horizontal="left"/>
    </xf>
    <xf numFmtId="167" fontId="0" fillId="4" borderId="2" xfId="2" applyNumberFormat="1" applyFont="1" applyFill="1" applyBorder="1" applyAlignment="1">
      <alignment horizontal="center"/>
    </xf>
    <xf numFmtId="43" fontId="0" fillId="0" borderId="0" xfId="0" applyNumberFormat="1"/>
    <xf numFmtId="167" fontId="0" fillId="4" borderId="10" xfId="2" applyNumberFormat="1" applyFont="1" applyFill="1" applyBorder="1" applyAlignment="1">
      <alignment horizontal="center"/>
    </xf>
    <xf numFmtId="0" fontId="0" fillId="4" borderId="1" xfId="0" applyFill="1" applyBorder="1" applyAlignment="1">
      <alignment horizontal="centerContinuous"/>
    </xf>
    <xf numFmtId="43" fontId="0" fillId="3" borderId="14" xfId="1" applyFont="1" applyFill="1" applyBorder="1" applyAlignment="1">
      <alignment horizontal="left"/>
    </xf>
    <xf numFmtId="165" fontId="0" fillId="3" borderId="14" xfId="0" applyNumberFormat="1" applyFill="1" applyBorder="1" applyAlignment="1">
      <alignment horizontal="left"/>
    </xf>
    <xf numFmtId="9" fontId="0" fillId="3" borderId="14" xfId="2" applyFont="1" applyFill="1" applyBorder="1" applyAlignment="1">
      <alignment horizontal="center"/>
    </xf>
    <xf numFmtId="9" fontId="0" fillId="3" borderId="7" xfId="2" applyFont="1" applyFill="1" applyBorder="1" applyAlignment="1">
      <alignment horizontal="center"/>
    </xf>
    <xf numFmtId="0" fontId="14" fillId="0" borderId="0" xfId="0" applyFont="1"/>
    <xf numFmtId="165" fontId="0" fillId="4" borderId="10" xfId="0" applyNumberFormat="1" applyFill="1" applyBorder="1" applyAlignment="1">
      <alignment horizontal="left"/>
    </xf>
    <xf numFmtId="9" fontId="0" fillId="3" borderId="1" xfId="2" applyFont="1" applyFill="1" applyBorder="1" applyAlignment="1">
      <alignment horizontal="center"/>
    </xf>
    <xf numFmtId="0" fontId="11" fillId="5" borderId="1" xfId="0"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164" fontId="0" fillId="2" borderId="7" xfId="1" applyNumberFormat="1" applyFont="1" applyFill="1" applyBorder="1" applyAlignment="1">
      <alignment horizontal="left"/>
    </xf>
    <xf numFmtId="43" fontId="0" fillId="6" borderId="7" xfId="1" applyFont="1" applyFill="1" applyBorder="1" applyAlignment="1">
      <alignment horizontal="left"/>
    </xf>
    <xf numFmtId="164" fontId="0" fillId="2" borderId="10" xfId="1" applyNumberFormat="1" applyFont="1" applyFill="1" applyBorder="1" applyAlignment="1">
      <alignment horizontal="left"/>
    </xf>
    <xf numFmtId="164" fontId="0" fillId="7" borderId="10" xfId="1" applyNumberFormat="1" applyFont="1" applyFill="1" applyBorder="1" applyAlignment="1">
      <alignment horizontal="left"/>
    </xf>
    <xf numFmtId="43" fontId="0" fillId="4" borderId="7" xfId="1" applyFont="1" applyFill="1" applyBorder="1" applyAlignment="1">
      <alignment horizontal="left"/>
    </xf>
    <xf numFmtId="0" fontId="11" fillId="5" borderId="15" xfId="0" applyFont="1" applyFill="1" applyBorder="1" applyAlignment="1">
      <alignment horizontal="left" vertical="center" wrapText="1"/>
    </xf>
    <xf numFmtId="43" fontId="0" fillId="4" borderId="14" xfId="1" applyFont="1" applyFill="1" applyBorder="1" applyAlignment="1">
      <alignment horizontal="left"/>
    </xf>
    <xf numFmtId="43" fontId="11" fillId="5" borderId="15" xfId="0" applyNumberFormat="1" applyFont="1" applyFill="1" applyBorder="1" applyAlignment="1">
      <alignment horizontal="left" vertical="center" wrapText="1"/>
    </xf>
    <xf numFmtId="0" fontId="11" fillId="0" borderId="0" xfId="0" applyFont="1" applyAlignment="1">
      <alignment horizontal="center" vertical="center" wrapText="1"/>
    </xf>
    <xf numFmtId="0" fontId="0" fillId="4" borderId="27" xfId="0" applyFill="1" applyBorder="1" applyAlignment="1">
      <alignment horizontal="left"/>
    </xf>
    <xf numFmtId="165" fontId="0" fillId="4" borderId="2" xfId="1" applyNumberFormat="1" applyFont="1" applyFill="1" applyBorder="1" applyAlignment="1">
      <alignment horizontal="left"/>
    </xf>
    <xf numFmtId="0" fontId="11" fillId="5" borderId="1" xfId="0" applyFont="1" applyFill="1" applyBorder="1" applyAlignment="1">
      <alignment horizontal="centerContinuous" vertical="center" wrapText="1"/>
    </xf>
    <xf numFmtId="0" fontId="0" fillId="4" borderId="25" xfId="0" applyFill="1" applyBorder="1" applyAlignment="1">
      <alignment horizontal="left"/>
    </xf>
    <xf numFmtId="0" fontId="0" fillId="0" borderId="21" xfId="0" applyBorder="1" applyAlignment="1">
      <alignment horizontal="center"/>
    </xf>
    <xf numFmtId="0" fontId="11" fillId="4" borderId="10" xfId="0" applyFont="1" applyFill="1" applyBorder="1" applyAlignment="1">
      <alignment horizontal="left"/>
    </xf>
    <xf numFmtId="164" fontId="11" fillId="2" borderId="10" xfId="1" applyNumberFormat="1" applyFont="1" applyFill="1" applyBorder="1" applyAlignment="1">
      <alignment horizontal="left"/>
    </xf>
    <xf numFmtId="0" fontId="12" fillId="4" borderId="1" xfId="0" applyFont="1" applyFill="1" applyBorder="1" applyAlignment="1">
      <alignment horizontal="left" vertical="center" wrapText="1"/>
    </xf>
    <xf numFmtId="164" fontId="12" fillId="2" borderId="1" xfId="0" applyNumberFormat="1" applyFont="1" applyFill="1" applyBorder="1" applyAlignment="1">
      <alignment horizontal="left" vertical="center" wrapText="1"/>
    </xf>
    <xf numFmtId="0" fontId="0" fillId="0" borderId="1" xfId="0" applyBorder="1" applyAlignment="1">
      <alignment horizontal="center"/>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43" fontId="11" fillId="0" borderId="1" xfId="1"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43" fontId="11" fillId="0" borderId="1" xfId="0" applyNumberFormat="1" applyFont="1" applyBorder="1" applyAlignment="1">
      <alignment horizontal="left" vertical="center" wrapText="1"/>
    </xf>
    <xf numFmtId="164" fontId="0" fillId="4" borderId="21" xfId="1" applyNumberFormat="1" applyFont="1" applyFill="1" applyBorder="1" applyAlignment="1">
      <alignment horizontal="left"/>
    </xf>
    <xf numFmtId="43" fontId="0" fillId="0" borderId="1" xfId="1" applyFont="1" applyFill="1" applyBorder="1" applyAlignment="1">
      <alignment horizontal="left"/>
    </xf>
    <xf numFmtId="164" fontId="0" fillId="0" borderId="1" xfId="1" applyNumberFormat="1" applyFont="1" applyFill="1" applyBorder="1" applyAlignment="1">
      <alignment horizontal="left"/>
    </xf>
    <xf numFmtId="165" fontId="0" fillId="0" borderId="1" xfId="0" applyNumberFormat="1" applyBorder="1" applyAlignment="1">
      <alignment horizontal="left"/>
    </xf>
    <xf numFmtId="0" fontId="0" fillId="4" borderId="1" xfId="0" applyFill="1" applyBorder="1" applyAlignment="1">
      <alignment horizontal="left"/>
    </xf>
    <xf numFmtId="43" fontId="1" fillId="4" borderId="15" xfId="1" applyFont="1" applyFill="1" applyBorder="1" applyAlignment="1">
      <alignment horizontal="left"/>
    </xf>
    <xf numFmtId="164" fontId="1" fillId="2" borderId="15" xfId="1" applyNumberFormat="1" applyFont="1" applyFill="1" applyBorder="1" applyAlignment="1">
      <alignment horizontal="left"/>
    </xf>
    <xf numFmtId="164" fontId="1" fillId="4" borderId="15" xfId="1" applyNumberFormat="1" applyFont="1" applyFill="1" applyBorder="1" applyAlignment="1">
      <alignment horizontal="left"/>
    </xf>
    <xf numFmtId="0" fontId="12" fillId="5" borderId="1" xfId="0" applyFont="1" applyFill="1" applyBorder="1" applyAlignment="1">
      <alignment horizontal="center" vertical="center" wrapText="1"/>
    </xf>
    <xf numFmtId="0" fontId="12" fillId="5" borderId="1" xfId="0" applyFont="1" applyFill="1" applyBorder="1" applyAlignment="1">
      <alignment horizontal="centerContinuous" vertical="center" wrapText="1"/>
    </xf>
    <xf numFmtId="0" fontId="11" fillId="5" borderId="12" xfId="0" applyFont="1" applyFill="1" applyBorder="1" applyAlignment="1">
      <alignment horizontal="centerContinuous" vertical="center" wrapText="1"/>
    </xf>
    <xf numFmtId="0" fontId="0" fillId="4" borderId="23" xfId="0" applyFill="1" applyBorder="1" applyAlignment="1">
      <alignment horizontal="left"/>
    </xf>
    <xf numFmtId="0" fontId="1" fillId="0" borderId="0" xfId="0" applyFont="1" applyAlignment="1">
      <alignment horizontal="left"/>
    </xf>
    <xf numFmtId="166" fontId="1" fillId="0" borderId="0" xfId="0" applyNumberFormat="1" applyFont="1" applyAlignment="1">
      <alignment horizontal="left"/>
    </xf>
    <xf numFmtId="0" fontId="11" fillId="0" borderId="29" xfId="0" applyFont="1" applyBorder="1"/>
    <xf numFmtId="0" fontId="11" fillId="0" borderId="0" xfId="0" applyFont="1" applyAlignment="1">
      <alignment horizontal="centerContinuous" vertical="center" wrapText="1"/>
    </xf>
    <xf numFmtId="0" fontId="11" fillId="0" borderId="0" xfId="0" applyFont="1" applyAlignment="1">
      <alignment horizontal="centerContinuous" wrapText="1"/>
    </xf>
    <xf numFmtId="0" fontId="11" fillId="0" borderId="24" xfId="0" applyFont="1" applyBorder="1"/>
    <xf numFmtId="0" fontId="13" fillId="8" borderId="0" xfId="0" applyFont="1" applyFill="1"/>
    <xf numFmtId="0" fontId="11" fillId="0" borderId="30" xfId="0" applyFont="1" applyBorder="1"/>
    <xf numFmtId="11" fontId="0" fillId="0" borderId="0" xfId="0" applyNumberFormat="1"/>
    <xf numFmtId="0" fontId="11" fillId="0" borderId="32" xfId="0" applyFont="1" applyBorder="1"/>
    <xf numFmtId="0" fontId="11" fillId="0" borderId="33" xfId="0" applyFont="1" applyBorder="1"/>
    <xf numFmtId="0" fontId="11" fillId="0" borderId="34" xfId="0" applyFont="1" applyBorder="1"/>
    <xf numFmtId="0" fontId="11" fillId="0" borderId="35" xfId="0" applyFont="1" applyBorder="1"/>
    <xf numFmtId="0" fontId="11" fillId="0" borderId="36" xfId="0" applyFont="1" applyBorder="1"/>
    <xf numFmtId="0" fontId="11" fillId="0" borderId="37" xfId="0" applyFont="1" applyBorder="1"/>
    <xf numFmtId="0" fontId="11" fillId="0" borderId="38" xfId="0" applyFont="1" applyBorder="1"/>
    <xf numFmtId="0" fontId="0" fillId="0" borderId="32" xfId="0" applyBorder="1"/>
    <xf numFmtId="0" fontId="11" fillId="0" borderId="43" xfId="0" applyFont="1" applyBorder="1"/>
    <xf numFmtId="0" fontId="0" fillId="0" borderId="36" xfId="0" applyBorder="1"/>
    <xf numFmtId="0" fontId="0" fillId="0" borderId="37" xfId="0" applyBorder="1"/>
    <xf numFmtId="0" fontId="0" fillId="0" borderId="34" xfId="0" applyBorder="1"/>
    <xf numFmtId="0" fontId="0" fillId="0" borderId="35" xfId="0" applyBorder="1"/>
    <xf numFmtId="0" fontId="0" fillId="0" borderId="42" xfId="0" applyBorder="1"/>
    <xf numFmtId="165" fontId="12" fillId="3" borderId="31" xfId="0" applyNumberFormat="1" applyFont="1" applyFill="1" applyBorder="1" applyAlignment="1">
      <alignment horizontal="center"/>
    </xf>
    <xf numFmtId="164" fontId="1" fillId="2" borderId="39" xfId="1" applyNumberFormat="1" applyFont="1" applyFill="1" applyBorder="1" applyAlignment="1">
      <alignment horizontal="center"/>
    </xf>
    <xf numFmtId="165" fontId="1" fillId="3" borderId="17" xfId="0" applyNumberFormat="1" applyFont="1" applyFill="1" applyBorder="1" applyAlignment="1">
      <alignment horizontal="center"/>
    </xf>
    <xf numFmtId="0" fontId="11" fillId="0" borderId="46" xfId="0" applyFont="1" applyBorder="1"/>
    <xf numFmtId="0" fontId="11" fillId="0" borderId="47" xfId="0" applyFont="1" applyBorder="1"/>
    <xf numFmtId="0" fontId="1" fillId="4" borderId="31" xfId="0" applyFont="1" applyFill="1" applyBorder="1" applyAlignment="1">
      <alignment horizontal="center"/>
    </xf>
    <xf numFmtId="164" fontId="1" fillId="2" borderId="31" xfId="1" applyNumberFormat="1" applyFont="1" applyFill="1" applyBorder="1" applyAlignment="1">
      <alignment horizontal="center"/>
    </xf>
    <xf numFmtId="0" fontId="5" fillId="0" borderId="48" xfId="0" applyFont="1" applyBorder="1"/>
    <xf numFmtId="0" fontId="11" fillId="0" borderId="49" xfId="0" applyFont="1" applyBorder="1"/>
    <xf numFmtId="0" fontId="11" fillId="0" borderId="50" xfId="0" applyFont="1" applyBorder="1"/>
    <xf numFmtId="0" fontId="11" fillId="0" borderId="34" xfId="0" applyFont="1" applyBorder="1" applyAlignment="1">
      <alignment horizontal="left" vertical="center"/>
    </xf>
    <xf numFmtId="0" fontId="11" fillId="0" borderId="35" xfId="0" applyFont="1" applyBorder="1" applyAlignment="1">
      <alignment horizontal="centerContinuous" wrapText="1"/>
    </xf>
    <xf numFmtId="0" fontId="11" fillId="0" borderId="40" xfId="0" applyFont="1" applyBorder="1" applyAlignment="1">
      <alignment horizontal="left" vertical="center"/>
    </xf>
    <xf numFmtId="0" fontId="11" fillId="0" borderId="41" xfId="0" applyFont="1" applyBorder="1"/>
    <xf numFmtId="0" fontId="5" fillId="0" borderId="34" xfId="0" applyFont="1" applyBorder="1" applyAlignment="1">
      <alignment horizontal="left" vertical="center"/>
    </xf>
    <xf numFmtId="0" fontId="11" fillId="0" borderId="45" xfId="0" applyFont="1" applyBorder="1"/>
    <xf numFmtId="0" fontId="17" fillId="0" borderId="17" xfId="0" applyFont="1" applyBorder="1" applyAlignment="1">
      <alignment horizontal="center"/>
    </xf>
    <xf numFmtId="0" fontId="11" fillId="0" borderId="26" xfId="0" applyFont="1" applyBorder="1"/>
    <xf numFmtId="0" fontId="11" fillId="0" borderId="18" xfId="0" applyFont="1" applyBorder="1"/>
    <xf numFmtId="0" fontId="11" fillId="0" borderId="36" xfId="0" applyFont="1" applyBorder="1" applyAlignment="1">
      <alignment horizontal="left" vertical="center"/>
    </xf>
    <xf numFmtId="0" fontId="0" fillId="0" borderId="35" xfId="0" applyBorder="1" applyAlignment="1">
      <alignment horizontal="centerContinuous" wrapText="1"/>
    </xf>
    <xf numFmtId="0" fontId="0" fillId="0" borderId="38" xfId="0" applyBorder="1"/>
    <xf numFmtId="167" fontId="11" fillId="5" borderId="1" xfId="2" applyNumberFormat="1" applyFont="1" applyFill="1" applyBorder="1" applyAlignment="1">
      <alignment horizontal="center" vertical="center" wrapText="1"/>
    </xf>
    <xf numFmtId="166" fontId="0" fillId="6" borderId="1" xfId="0" applyNumberFormat="1" applyFill="1" applyBorder="1" applyAlignment="1">
      <alignment horizontal="left"/>
    </xf>
    <xf numFmtId="166" fontId="0" fillId="4" borderId="1" xfId="0" applyNumberFormat="1" applyFill="1" applyBorder="1" applyAlignment="1">
      <alignment horizontal="left"/>
    </xf>
    <xf numFmtId="0" fontId="0" fillId="0" borderId="0" xfId="0" applyAlignment="1">
      <alignment horizontal="left"/>
    </xf>
    <xf numFmtId="9" fontId="0" fillId="0" borderId="0" xfId="2" applyFont="1" applyFill="1" applyBorder="1" applyAlignment="1">
      <alignment horizontal="center"/>
    </xf>
    <xf numFmtId="165" fontId="0" fillId="0" borderId="0" xfId="1" applyNumberFormat="1" applyFont="1" applyFill="1" applyBorder="1" applyAlignment="1">
      <alignment horizontal="left"/>
    </xf>
    <xf numFmtId="0" fontId="12" fillId="6" borderId="1" xfId="0" applyFont="1" applyFill="1" applyBorder="1" applyAlignment="1">
      <alignment horizontal="left" vertical="center" wrapText="1"/>
    </xf>
    <xf numFmtId="165" fontId="12" fillId="6" borderId="1" xfId="0" applyNumberFormat="1" applyFont="1" applyFill="1" applyBorder="1" applyAlignment="1">
      <alignment horizontal="left" vertical="center" wrapText="1"/>
    </xf>
    <xf numFmtId="43" fontId="11" fillId="5" borderId="1"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53" xfId="0" applyFont="1" applyFill="1" applyBorder="1" applyAlignment="1">
      <alignment horizontal="center" vertical="center" wrapText="1"/>
    </xf>
    <xf numFmtId="164" fontId="0" fillId="0" borderId="0" xfId="1" applyNumberFormat="1" applyFont="1" applyFill="1" applyBorder="1" applyAlignment="1">
      <alignment horizontal="left"/>
    </xf>
    <xf numFmtId="167" fontId="11" fillId="0" borderId="0" xfId="2" applyNumberFormat="1" applyFont="1" applyFill="1" applyBorder="1" applyAlignment="1">
      <alignment horizontal="center" vertical="center" wrapText="1"/>
    </xf>
    <xf numFmtId="166" fontId="0" fillId="0" borderId="0" xfId="0" applyNumberFormat="1" applyAlignment="1">
      <alignment horizontal="left"/>
    </xf>
    <xf numFmtId="164" fontId="0" fillId="3" borderId="1" xfId="1" applyNumberFormat="1" applyFont="1" applyFill="1" applyBorder="1" applyAlignment="1">
      <alignment horizontal="left"/>
    </xf>
    <xf numFmtId="164" fontId="0" fillId="3" borderId="15" xfId="1" applyNumberFormat="1" applyFont="1" applyFill="1" applyBorder="1" applyAlignment="1">
      <alignment horizontal="left"/>
    </xf>
    <xf numFmtId="165" fontId="0" fillId="4" borderId="21" xfId="1" applyNumberFormat="1" applyFont="1" applyFill="1" applyBorder="1" applyAlignment="1">
      <alignment horizontal="left"/>
    </xf>
    <xf numFmtId="0" fontId="8" fillId="8" borderId="1" xfId="0" applyFont="1" applyFill="1" applyBorder="1" applyAlignment="1">
      <alignment horizontal="centerContinuous" vertical="center" wrapText="1"/>
    </xf>
    <xf numFmtId="0" fontId="6" fillId="8" borderId="1" xfId="0" applyFont="1" applyFill="1" applyBorder="1" applyAlignment="1">
      <alignment horizontal="centerContinuous" vertical="center" wrapText="1"/>
    </xf>
    <xf numFmtId="0" fontId="8" fillId="5" borderId="31" xfId="0" applyFont="1" applyFill="1" applyBorder="1" applyAlignment="1">
      <alignment horizontal="centerContinuous" vertical="center" wrapText="1"/>
    </xf>
    <xf numFmtId="43" fontId="12" fillId="2" borderId="1" xfId="1" applyFont="1" applyFill="1" applyBorder="1" applyAlignment="1">
      <alignment horizontal="left" vertical="center" wrapText="1"/>
    </xf>
    <xf numFmtId="43" fontId="11" fillId="2" borderId="10" xfId="1" applyFont="1" applyFill="1" applyBorder="1" applyAlignment="1">
      <alignment horizontal="left"/>
    </xf>
    <xf numFmtId="43" fontId="0" fillId="2" borderId="7" xfId="1" applyFont="1" applyFill="1" applyBorder="1" applyAlignment="1">
      <alignment horizontal="left"/>
    </xf>
    <xf numFmtId="43" fontId="0" fillId="2" borderId="10" xfId="1" applyFont="1" applyFill="1" applyBorder="1" applyAlignment="1">
      <alignment horizontal="left"/>
    </xf>
    <xf numFmtId="0" fontId="6" fillId="5" borderId="25" xfId="0" applyFont="1" applyFill="1" applyBorder="1" applyAlignment="1">
      <alignment horizontal="center" vertical="center" wrapText="1"/>
    </xf>
    <xf numFmtId="0" fontId="6" fillId="5" borderId="55" xfId="0" applyFont="1" applyFill="1" applyBorder="1" applyAlignment="1">
      <alignment horizontal="center" vertical="center" wrapText="1"/>
    </xf>
    <xf numFmtId="43" fontId="0" fillId="3" borderId="56" xfId="1" applyFont="1" applyFill="1" applyBorder="1" applyAlignment="1">
      <alignment horizontal="left"/>
    </xf>
    <xf numFmtId="0" fontId="14" fillId="0" borderId="0" xfId="0" applyFont="1" applyAlignment="1">
      <alignment horizontal="left"/>
    </xf>
    <xf numFmtId="43" fontId="11"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0" fontId="12" fillId="0" borderId="0" xfId="0" applyFont="1" applyAlignment="1">
      <alignment horizontal="left" vertical="center" wrapText="1"/>
    </xf>
    <xf numFmtId="165" fontId="12" fillId="0" borderId="0" xfId="0" applyNumberFormat="1" applyFont="1" applyAlignment="1">
      <alignment horizontal="left" vertical="center" wrapText="1"/>
    </xf>
    <xf numFmtId="0" fontId="6" fillId="0" borderId="16" xfId="0" applyFont="1" applyBorder="1" applyAlignment="1">
      <alignment horizontal="center" vertical="center" wrapText="1"/>
    </xf>
    <xf numFmtId="43" fontId="0" fillId="4" borderId="3" xfId="1" applyFont="1" applyFill="1" applyBorder="1" applyAlignment="1">
      <alignment horizontal="left"/>
    </xf>
    <xf numFmtId="0" fontId="8" fillId="5" borderId="12" xfId="0" applyFont="1" applyFill="1" applyBorder="1" applyAlignment="1">
      <alignment horizontal="centerContinuous" vertical="center" wrapText="1"/>
    </xf>
    <xf numFmtId="0" fontId="6" fillId="0" borderId="57" xfId="0" applyFont="1" applyBorder="1" applyAlignment="1">
      <alignment horizontal="center" vertical="center" wrapText="1"/>
    </xf>
    <xf numFmtId="43" fontId="0" fillId="4" borderId="56" xfId="1" applyFont="1" applyFill="1" applyBorder="1" applyAlignment="1">
      <alignment horizontal="left"/>
    </xf>
    <xf numFmtId="0" fontId="6" fillId="6" borderId="1" xfId="0" applyFont="1" applyFill="1" applyBorder="1" applyAlignment="1">
      <alignment horizontal="center" vertical="center" wrapText="1"/>
    </xf>
    <xf numFmtId="43" fontId="0" fillId="4" borderId="27" xfId="1" applyFont="1" applyFill="1" applyBorder="1" applyAlignment="1">
      <alignment horizontal="left"/>
    </xf>
    <xf numFmtId="43" fontId="0" fillId="0" borderId="16" xfId="1" applyFont="1" applyFill="1" applyBorder="1" applyAlignment="1">
      <alignment horizontal="left"/>
    </xf>
    <xf numFmtId="0" fontId="6" fillId="0" borderId="25" xfId="0" applyFont="1" applyBorder="1" applyAlignment="1">
      <alignment horizontal="center" vertical="center" wrapText="1"/>
    </xf>
    <xf numFmtId="43" fontId="0" fillId="4" borderId="4" xfId="1" applyFont="1" applyFill="1" applyBorder="1" applyAlignment="1">
      <alignment horizontal="left"/>
    </xf>
    <xf numFmtId="43" fontId="0" fillId="4" borderId="28" xfId="1" applyFont="1" applyFill="1" applyBorder="1" applyAlignment="1">
      <alignment horizontal="left"/>
    </xf>
    <xf numFmtId="43" fontId="0" fillId="0" borderId="25" xfId="1" applyFont="1" applyFill="1" applyBorder="1" applyAlignment="1">
      <alignment horizontal="left"/>
    </xf>
    <xf numFmtId="43" fontId="0" fillId="4" borderId="58" xfId="1" applyFont="1" applyFill="1" applyBorder="1" applyAlignment="1">
      <alignment horizontal="left"/>
    </xf>
    <xf numFmtId="43" fontId="0" fillId="0" borderId="57" xfId="1" applyFont="1" applyFill="1" applyBorder="1" applyAlignment="1">
      <alignment horizontal="left"/>
    </xf>
    <xf numFmtId="0" fontId="19" fillId="0" borderId="0" xfId="0" applyFont="1"/>
    <xf numFmtId="0" fontId="20" fillId="0" borderId="0" xfId="0" applyFont="1"/>
    <xf numFmtId="0" fontId="0" fillId="4" borderId="21" xfId="0" applyFill="1" applyBorder="1" applyAlignment="1">
      <alignment horizontal="left"/>
    </xf>
    <xf numFmtId="43" fontId="0" fillId="3" borderId="21" xfId="1" applyFont="1" applyFill="1" applyBorder="1" applyAlignment="1">
      <alignment horizontal="left"/>
    </xf>
    <xf numFmtId="9" fontId="0" fillId="3" borderId="21" xfId="2" applyFont="1" applyFill="1" applyBorder="1" applyAlignment="1">
      <alignment horizontal="center"/>
    </xf>
    <xf numFmtId="165" fontId="0" fillId="4" borderId="21" xfId="0" applyNumberFormat="1" applyFill="1" applyBorder="1" applyAlignment="1">
      <alignment horizontal="left"/>
    </xf>
    <xf numFmtId="0" fontId="1" fillId="0" borderId="21" xfId="0" applyFont="1" applyBorder="1" applyAlignment="1">
      <alignment horizontal="center"/>
    </xf>
    <xf numFmtId="0" fontId="11" fillId="0" borderId="59" xfId="0" applyFont="1" applyBorder="1"/>
    <xf numFmtId="165" fontId="0" fillId="4" borderId="2" xfId="0" applyNumberFormat="1" applyFill="1" applyBorder="1"/>
    <xf numFmtId="11" fontId="11" fillId="0" borderId="44" xfId="0" applyNumberFormat="1" applyFont="1" applyBorder="1"/>
    <xf numFmtId="11" fontId="0" fillId="0" borderId="29" xfId="0" applyNumberFormat="1" applyBorder="1"/>
    <xf numFmtId="11" fontId="11" fillId="0" borderId="29" xfId="0" applyNumberFormat="1" applyFont="1" applyBorder="1"/>
    <xf numFmtId="11" fontId="11" fillId="0" borderId="45" xfId="0" applyNumberFormat="1" applyFont="1" applyBorder="1"/>
    <xf numFmtId="0" fontId="12" fillId="4" borderId="31" xfId="0" applyFont="1" applyFill="1" applyBorder="1" applyAlignment="1">
      <alignment horizontal="center"/>
    </xf>
    <xf numFmtId="165" fontId="11" fillId="5" borderId="1" xfId="1" applyNumberFormat="1" applyFont="1" applyFill="1" applyBorder="1" applyAlignment="1">
      <alignment horizontal="center" vertical="center" wrapText="1"/>
    </xf>
    <xf numFmtId="0" fontId="0" fillId="0" borderId="1" xfId="0" applyBorder="1"/>
    <xf numFmtId="0" fontId="0" fillId="4" borderId="60" xfId="0" applyFill="1" applyBorder="1" applyAlignment="1">
      <alignment horizontal="left"/>
    </xf>
    <xf numFmtId="0" fontId="12" fillId="5" borderId="6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165" fontId="12" fillId="5" borderId="26" xfId="1" applyNumberFormat="1" applyFont="1" applyFill="1" applyBorder="1" applyAlignment="1">
      <alignment horizontal="center" vertical="center" wrapText="1"/>
    </xf>
    <xf numFmtId="165" fontId="12" fillId="5" borderId="18" xfId="1" applyNumberFormat="1" applyFont="1" applyFill="1" applyBorder="1" applyAlignment="1">
      <alignment horizontal="center" vertical="center" wrapText="1"/>
    </xf>
    <xf numFmtId="165" fontId="0" fillId="4" borderId="52" xfId="0" applyNumberFormat="1" applyFill="1" applyBorder="1" applyAlignment="1">
      <alignment horizontal="left"/>
    </xf>
    <xf numFmtId="164" fontId="0" fillId="4" borderId="62" xfId="1" applyNumberFormat="1" applyFont="1" applyFill="1" applyBorder="1" applyAlignment="1">
      <alignment horizontal="left"/>
    </xf>
    <xf numFmtId="164" fontId="0" fillId="4" borderId="63" xfId="1" applyNumberFormat="1" applyFont="1" applyFill="1" applyBorder="1" applyAlignment="1">
      <alignment horizontal="left"/>
    </xf>
    <xf numFmtId="9" fontId="0" fillId="0" borderId="0" xfId="2" applyFont="1"/>
    <xf numFmtId="0" fontId="0" fillId="4" borderId="1" xfId="0" applyFill="1" applyBorder="1" applyAlignment="1">
      <alignment horizontal="left" vertical="center"/>
    </xf>
    <xf numFmtId="166" fontId="0" fillId="4" borderId="23" xfId="0" applyNumberFormat="1" applyFill="1" applyBorder="1" applyAlignment="1">
      <alignment horizontal="left"/>
    </xf>
    <xf numFmtId="9" fontId="0" fillId="4" borderId="23" xfId="2" applyFont="1" applyFill="1" applyBorder="1" applyAlignment="1">
      <alignment horizontal="center"/>
    </xf>
    <xf numFmtId="0" fontId="0" fillId="4" borderId="64" xfId="0" applyFill="1" applyBorder="1" applyAlignment="1">
      <alignment horizontal="left"/>
    </xf>
    <xf numFmtId="9" fontId="0" fillId="3" borderId="10" xfId="2" applyFont="1" applyFill="1" applyBorder="1" applyAlignment="1">
      <alignment horizontal="center"/>
    </xf>
    <xf numFmtId="9" fontId="0" fillId="4" borderId="7" xfId="2" applyFont="1" applyFill="1" applyBorder="1" applyAlignment="1">
      <alignment horizontal="center"/>
    </xf>
    <xf numFmtId="164" fontId="0" fillId="4" borderId="7" xfId="1" applyNumberFormat="1" applyFont="1" applyFill="1" applyBorder="1" applyAlignment="1">
      <alignment horizontal="left"/>
    </xf>
    <xf numFmtId="165" fontId="0" fillId="3" borderId="2" xfId="1" applyNumberFormat="1" applyFont="1" applyFill="1" applyBorder="1" applyAlignment="1"/>
    <xf numFmtId="43" fontId="0" fillId="4" borderId="2" xfId="0" applyNumberFormat="1" applyFill="1" applyBorder="1" applyAlignment="1">
      <alignment horizontal="left"/>
    </xf>
    <xf numFmtId="164" fontId="0" fillId="8" borderId="2" xfId="1" applyNumberFormat="1" applyFont="1" applyFill="1" applyBorder="1" applyAlignment="1">
      <alignment horizontal="left"/>
    </xf>
    <xf numFmtId="0" fontId="12" fillId="5" borderId="1" xfId="0" applyFont="1" applyFill="1" applyBorder="1" applyAlignment="1">
      <alignment horizontal="left" vertical="center" wrapText="1"/>
    </xf>
    <xf numFmtId="43" fontId="12" fillId="5" borderId="1" xfId="1" applyFont="1" applyFill="1" applyBorder="1" applyAlignment="1">
      <alignment horizontal="left" vertical="center" wrapText="1"/>
    </xf>
    <xf numFmtId="165" fontId="12" fillId="5" borderId="1" xfId="0" applyNumberFormat="1" applyFont="1" applyFill="1" applyBorder="1" applyAlignment="1">
      <alignment horizontal="left" vertical="center" wrapText="1"/>
    </xf>
    <xf numFmtId="0" fontId="12" fillId="5" borderId="15" xfId="0" applyFont="1" applyFill="1" applyBorder="1" applyAlignment="1">
      <alignment horizontal="left" vertical="center" wrapText="1"/>
    </xf>
    <xf numFmtId="43" fontId="12" fillId="5" borderId="15" xfId="1" applyFont="1" applyFill="1" applyBorder="1" applyAlignment="1">
      <alignment horizontal="left" vertical="center" wrapText="1"/>
    </xf>
    <xf numFmtId="165" fontId="12" fillId="5" borderId="15" xfId="0" applyNumberFormat="1" applyFont="1" applyFill="1" applyBorder="1" applyAlignment="1">
      <alignment horizontal="left" vertical="center" wrapText="1"/>
    </xf>
    <xf numFmtId="0" fontId="12" fillId="5" borderId="22" xfId="0" applyFont="1" applyFill="1" applyBorder="1" applyAlignment="1">
      <alignment horizontal="left" vertical="center" wrapText="1"/>
    </xf>
    <xf numFmtId="43" fontId="12" fillId="5" borderId="22" xfId="1" applyFont="1" applyFill="1" applyBorder="1" applyAlignment="1">
      <alignment horizontal="left" vertical="center" wrapText="1"/>
    </xf>
    <xf numFmtId="165" fontId="12" fillId="5" borderId="22" xfId="0" applyNumberFormat="1"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26" xfId="0" applyFont="1" applyFill="1" applyBorder="1" applyAlignment="1">
      <alignment horizontal="left" vertical="center" wrapText="1"/>
    </xf>
    <xf numFmtId="43" fontId="12" fillId="5" borderId="26" xfId="1" applyFont="1" applyFill="1" applyBorder="1" applyAlignment="1">
      <alignment horizontal="left" vertical="center" wrapText="1"/>
    </xf>
    <xf numFmtId="165" fontId="12" fillId="5" borderId="18" xfId="0" applyNumberFormat="1" applyFont="1" applyFill="1" applyBorder="1" applyAlignment="1">
      <alignment horizontal="left" vertical="center" wrapText="1"/>
    </xf>
    <xf numFmtId="0" fontId="11" fillId="4" borderId="14" xfId="0" applyFont="1" applyFill="1" applyBorder="1" applyAlignment="1">
      <alignment horizontal="left"/>
    </xf>
    <xf numFmtId="43" fontId="11" fillId="2" borderId="14" xfId="1" applyFont="1" applyFill="1" applyBorder="1" applyAlignment="1">
      <alignment horizontal="left"/>
    </xf>
    <xf numFmtId="43" fontId="0" fillId="4" borderId="14" xfId="0" applyNumberFormat="1" applyFill="1" applyBorder="1" applyAlignment="1">
      <alignment horizontal="left"/>
    </xf>
    <xf numFmtId="43" fontId="0" fillId="2" borderId="14" xfId="1" applyFont="1" applyFill="1" applyBorder="1" applyAlignment="1">
      <alignment horizontal="left"/>
    </xf>
    <xf numFmtId="43" fontId="12" fillId="5" borderId="18" xfId="1" applyFont="1" applyFill="1" applyBorder="1" applyAlignment="1">
      <alignment horizontal="left" vertical="center" wrapText="1"/>
    </xf>
    <xf numFmtId="43" fontId="12" fillId="5" borderId="15" xfId="0" applyNumberFormat="1" applyFont="1" applyFill="1" applyBorder="1" applyAlignment="1">
      <alignment horizontal="left" vertical="center" wrapText="1"/>
    </xf>
    <xf numFmtId="43" fontId="0" fillId="3" borderId="58" xfId="1" applyFont="1" applyFill="1" applyBorder="1" applyAlignment="1">
      <alignment horizontal="left"/>
    </xf>
    <xf numFmtId="164" fontId="12" fillId="5" borderId="15" xfId="1" applyNumberFormat="1" applyFont="1" applyFill="1" applyBorder="1" applyAlignment="1">
      <alignment horizontal="left" vertical="center" wrapText="1"/>
    </xf>
    <xf numFmtId="164" fontId="0" fillId="8" borderId="14" xfId="1" applyNumberFormat="1" applyFont="1" applyFill="1" applyBorder="1" applyAlignment="1">
      <alignment horizontal="left"/>
    </xf>
    <xf numFmtId="43" fontId="12" fillId="5" borderId="22" xfId="0" applyNumberFormat="1" applyFont="1" applyFill="1" applyBorder="1" applyAlignment="1">
      <alignment horizontal="left" vertical="center" wrapText="1"/>
    </xf>
    <xf numFmtId="164" fontId="12" fillId="5" borderId="22" xfId="1" applyNumberFormat="1" applyFont="1" applyFill="1" applyBorder="1" applyAlignment="1">
      <alignment horizontal="left" vertical="center" wrapText="1"/>
    </xf>
    <xf numFmtId="43" fontId="12" fillId="5" borderId="26" xfId="0" applyNumberFormat="1" applyFont="1" applyFill="1" applyBorder="1" applyAlignment="1">
      <alignment horizontal="left" vertical="center" wrapText="1"/>
    </xf>
    <xf numFmtId="165" fontId="12" fillId="5" borderId="26" xfId="0" applyNumberFormat="1" applyFont="1" applyFill="1" applyBorder="1" applyAlignment="1">
      <alignment horizontal="left" vertical="center" wrapText="1"/>
    </xf>
    <xf numFmtId="164" fontId="12" fillId="5" borderId="26" xfId="1" applyNumberFormat="1" applyFont="1" applyFill="1" applyBorder="1" applyAlignment="1">
      <alignment horizontal="left" vertical="center" wrapText="1"/>
    </xf>
    <xf numFmtId="43" fontId="12" fillId="5" borderId="18" xfId="0" applyNumberFormat="1" applyFont="1" applyFill="1" applyBorder="1" applyAlignment="1">
      <alignment horizontal="left" vertical="center" wrapText="1"/>
    </xf>
    <xf numFmtId="165" fontId="0" fillId="0" borderId="0" xfId="0" applyNumberFormat="1"/>
    <xf numFmtId="0" fontId="11" fillId="5" borderId="31"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0" fillId="4" borderId="65" xfId="0" applyFill="1" applyBorder="1" applyAlignment="1">
      <alignment horizontal="left"/>
    </xf>
    <xf numFmtId="0" fontId="11" fillId="5" borderId="66" xfId="0" applyFont="1" applyFill="1" applyBorder="1" applyAlignment="1">
      <alignment horizontal="center" vertical="center" wrapText="1"/>
    </xf>
    <xf numFmtId="165" fontId="11" fillId="5" borderId="67" xfId="0" applyNumberFormat="1" applyFont="1" applyFill="1" applyBorder="1" applyAlignment="1">
      <alignment horizontal="center" vertical="center" wrapText="1"/>
    </xf>
    <xf numFmtId="165" fontId="11" fillId="5" borderId="68" xfId="0" applyNumberFormat="1" applyFont="1" applyFill="1" applyBorder="1" applyAlignment="1">
      <alignment horizontal="center" vertical="center" wrapText="1"/>
    </xf>
    <xf numFmtId="167" fontId="0" fillId="3" borderId="21" xfId="2" applyNumberFormat="1" applyFont="1" applyFill="1" applyBorder="1" applyAlignment="1">
      <alignment horizontal="center"/>
    </xf>
    <xf numFmtId="166" fontId="0" fillId="4" borderId="7" xfId="1" applyNumberFormat="1" applyFont="1" applyFill="1" applyBorder="1" applyAlignment="1">
      <alignment horizontal="left"/>
    </xf>
    <xf numFmtId="164" fontId="0" fillId="4" borderId="2" xfId="1" applyNumberFormat="1" applyFont="1" applyFill="1" applyBorder="1" applyAlignment="1">
      <alignment horizontal="center"/>
    </xf>
    <xf numFmtId="164" fontId="0" fillId="6" borderId="1" xfId="1" applyNumberFormat="1" applyFont="1" applyFill="1" applyBorder="1" applyAlignment="1">
      <alignment horizontal="center"/>
    </xf>
    <xf numFmtId="0" fontId="0" fillId="0" borderId="0" xfId="0" applyAlignment="1">
      <alignment vertical="center"/>
    </xf>
    <xf numFmtId="0" fontId="14" fillId="0" borderId="0" xfId="0" applyFont="1" applyAlignment="1">
      <alignment vertical="center"/>
    </xf>
    <xf numFmtId="0" fontId="12" fillId="5" borderId="36" xfId="0" applyFont="1" applyFill="1" applyBorder="1" applyAlignment="1">
      <alignment horizontal="center" vertical="center" wrapText="1"/>
    </xf>
    <xf numFmtId="165" fontId="12" fillId="5" borderId="69" xfId="1" applyNumberFormat="1" applyFont="1" applyFill="1" applyBorder="1" applyAlignment="1">
      <alignment horizontal="center" vertical="center" wrapText="1"/>
    </xf>
    <xf numFmtId="165" fontId="12" fillId="5" borderId="54" xfId="1" applyNumberFormat="1" applyFont="1" applyFill="1" applyBorder="1" applyAlignment="1">
      <alignment horizontal="center" vertical="center" wrapText="1"/>
    </xf>
    <xf numFmtId="0" fontId="0" fillId="4" borderId="70" xfId="0" applyFill="1" applyBorder="1" applyAlignment="1">
      <alignment horizontal="left"/>
    </xf>
    <xf numFmtId="165" fontId="0" fillId="4" borderId="71" xfId="0" applyNumberFormat="1" applyFill="1" applyBorder="1" applyAlignment="1">
      <alignment horizontal="left"/>
    </xf>
    <xf numFmtId="43" fontId="22" fillId="0" borderId="0" xfId="0" applyNumberFormat="1" applyFont="1"/>
    <xf numFmtId="0" fontId="0" fillId="4" borderId="1" xfId="0" applyFill="1" applyBorder="1" applyAlignment="1">
      <alignment horizontal="centerContinuous" wrapText="1"/>
    </xf>
    <xf numFmtId="43" fontId="0" fillId="0" borderId="0" xfId="1" applyFont="1" applyFill="1" applyBorder="1" applyAlignment="1">
      <alignment horizontal="center"/>
    </xf>
    <xf numFmtId="165" fontId="0" fillId="4" borderId="22" xfId="0" applyNumberFormat="1" applyFill="1" applyBorder="1" applyAlignment="1">
      <alignment horizontal="left"/>
    </xf>
    <xf numFmtId="164" fontId="0" fillId="8" borderId="7" xfId="1" applyNumberFormat="1" applyFont="1" applyFill="1" applyBorder="1" applyAlignment="1">
      <alignment horizontal="left"/>
    </xf>
    <xf numFmtId="0" fontId="0" fillId="4" borderId="16" xfId="0" applyFill="1" applyBorder="1" applyAlignment="1">
      <alignment horizontal="centerContinuous" wrapText="1"/>
    </xf>
    <xf numFmtId="0" fontId="0" fillId="4" borderId="25" xfId="0" applyFill="1" applyBorder="1" applyAlignment="1">
      <alignment horizontal="centerContinuous" wrapText="1"/>
    </xf>
    <xf numFmtId="165" fontId="14" fillId="3" borderId="16" xfId="0" applyNumberFormat="1" applyFont="1" applyFill="1" applyBorder="1" applyAlignment="1">
      <alignment horizontal="centerContinuous" vertical="center" wrapText="1"/>
    </xf>
    <xf numFmtId="165" fontId="14" fillId="3" borderId="25" xfId="0" applyNumberFormat="1" applyFont="1" applyFill="1" applyBorder="1" applyAlignment="1">
      <alignment horizontal="centerContinuous" vertical="center" wrapText="1"/>
    </xf>
    <xf numFmtId="0" fontId="0" fillId="4" borderId="15" xfId="0" applyFill="1" applyBorder="1" applyAlignment="1">
      <alignment horizontal="left"/>
    </xf>
    <xf numFmtId="165" fontId="0" fillId="4" borderId="15" xfId="1" applyNumberFormat="1" applyFont="1" applyFill="1" applyBorder="1" applyAlignment="1">
      <alignment horizontal="left"/>
    </xf>
    <xf numFmtId="0" fontId="0" fillId="4" borderId="7" xfId="0" applyFill="1" applyBorder="1" applyAlignment="1">
      <alignment horizontal="left" wrapText="1"/>
    </xf>
    <xf numFmtId="0" fontId="0" fillId="4" borderId="13" xfId="0" applyFill="1" applyBorder="1" applyAlignment="1">
      <alignment horizontal="left" wrapText="1"/>
    </xf>
    <xf numFmtId="0" fontId="0" fillId="0" borderId="0" xfId="0" applyBorder="1"/>
    <xf numFmtId="0" fontId="11" fillId="0" borderId="34" xfId="0" applyFont="1" applyBorder="1" applyAlignment="1">
      <alignment horizontal="centerContinuous" vertical="center" wrapText="1"/>
    </xf>
    <xf numFmtId="0" fontId="11" fillId="0" borderId="24" xfId="0" applyFont="1" applyBorder="1" applyAlignment="1">
      <alignment horizontal="centerContinuous" wrapText="1"/>
    </xf>
    <xf numFmtId="0" fontId="0" fillId="0" borderId="16" xfId="0" applyBorder="1" applyAlignment="1">
      <alignment horizontal="left" vertical="center" indent="2"/>
    </xf>
    <xf numFmtId="0" fontId="0" fillId="0" borderId="24" xfId="0" applyBorder="1"/>
    <xf numFmtId="0" fontId="0" fillId="0" borderId="24" xfId="0" applyBorder="1" applyAlignment="1">
      <alignment horizontal="left" vertical="center" indent="2"/>
    </xf>
    <xf numFmtId="0" fontId="11" fillId="0" borderId="0" xfId="0" applyFont="1" applyBorder="1" applyAlignment="1">
      <alignment horizontal="centerContinuous" wrapText="1"/>
    </xf>
    <xf numFmtId="0" fontId="0" fillId="0" borderId="16" xfId="0" applyBorder="1" applyAlignment="1">
      <alignment horizontal="centerContinuous" vertical="center" wrapText="1"/>
    </xf>
    <xf numFmtId="0" fontId="0" fillId="0" borderId="24" xfId="0" applyBorder="1" applyAlignment="1">
      <alignment horizontal="centerContinuous" wrapText="1"/>
    </xf>
    <xf numFmtId="0" fontId="5" fillId="0" borderId="59" xfId="0" applyFont="1" applyBorder="1"/>
    <xf numFmtId="0" fontId="11" fillId="0" borderId="40" xfId="0" applyFont="1" applyBorder="1" applyAlignment="1">
      <alignment horizontal="centerContinuous" vertical="center" wrapText="1"/>
    </xf>
    <xf numFmtId="0" fontId="11" fillId="0" borderId="41" xfId="0" applyFont="1" applyBorder="1" applyAlignment="1">
      <alignment horizontal="centerContinuous" wrapText="1"/>
    </xf>
    <xf numFmtId="0" fontId="0" fillId="0" borderId="41" xfId="0" applyBorder="1"/>
    <xf numFmtId="0" fontId="0" fillId="0" borderId="41" xfId="0" applyBorder="1" applyAlignment="1">
      <alignment horizontal="centerContinuous" wrapText="1"/>
    </xf>
    <xf numFmtId="0" fontId="0" fillId="0" borderId="72" xfId="0" applyBorder="1" applyAlignment="1">
      <alignment horizontal="left" vertical="center" indent="2"/>
    </xf>
    <xf numFmtId="0" fontId="0" fillId="0" borderId="73" xfId="0" applyBorder="1"/>
    <xf numFmtId="0" fontId="0" fillId="0" borderId="74" xfId="0" applyBorder="1"/>
    <xf numFmtId="0" fontId="1" fillId="0" borderId="40" xfId="0" applyFont="1" applyBorder="1" applyAlignment="1">
      <alignment horizontal="left" vertical="center" indent="1"/>
    </xf>
    <xf numFmtId="165" fontId="14" fillId="3" borderId="16" xfId="0" applyNumberFormat="1" applyFont="1" applyFill="1" applyBorder="1" applyAlignment="1">
      <alignment horizontal="center" vertical="center"/>
    </xf>
    <xf numFmtId="165" fontId="14" fillId="3" borderId="24" xfId="0" applyNumberFormat="1" applyFont="1" applyFill="1" applyBorder="1" applyAlignment="1">
      <alignment horizontal="center" vertical="center"/>
    </xf>
    <xf numFmtId="165" fontId="14" fillId="3" borderId="25" xfId="0" applyNumberFormat="1" applyFont="1" applyFill="1" applyBorder="1" applyAlignment="1">
      <alignment horizontal="center" vertical="center"/>
    </xf>
    <xf numFmtId="165" fontId="14" fillId="3" borderId="12" xfId="0" applyNumberFormat="1" applyFont="1" applyFill="1" applyBorder="1" applyAlignment="1">
      <alignment horizontal="center" vertical="center"/>
    </xf>
    <xf numFmtId="165" fontId="14" fillId="3" borderId="15" xfId="0" applyNumberFormat="1"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99FF"/>
      <color rgb="FFF8CBAD"/>
      <color rgb="FFFFFF66"/>
      <color rgb="FF000000"/>
      <color rgb="FFFFFF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ew Rudebusch" id="{189B9B0F-E5B6-4906-ABE0-43747024AF43}" userId="S::arudebusch@healthmanagement.com::7b9f8b94-dce4-4513-9a6b-ab285bd9eca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 dT="2023-03-31T19:08:34.89" personId="{189B9B0F-E5B6-4906-ABE0-43747024AF43}" id="{DE3E2FE2-06BD-4F51-BDBA-FA3C5D6EFDE2}">
    <text>Current salary for staff members or estimated salary for new staff positions.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4" dT="2023-03-30T03:47:41.83" personId="{189B9B0F-E5B6-4906-ABE0-43747024AF43}" id="{A35F3EB1-9686-4F72-9146-8346205E0963}">
    <text>Variable costs change relative to the number of visits provided.
The model assumes that the variable cost per visit is consistent even with increased or decreased billable visits.
If a cost is not easily classified as "variable", report it in the "fixed" cost bucket.</text>
  </threadedComment>
  <threadedComment ref="B15" dT="2023-03-30T03:46:21.14" personId="{189B9B0F-E5B6-4906-ABE0-43747024AF43}" id="{65CFC23A-9EFD-4EB9-9E22-7B85E5CCE3DE}">
    <text>Fixed costs will not change if the number of visits rendered by the clinic changes.
On the simulation tab, the model will adjust the fixed cost per visit if the number of billable visits changes.</text>
  </threadedComment>
</ThreadedComments>
</file>

<file path=xl/threadedComments/threadedComment3.xml><?xml version="1.0" encoding="utf-8"?>
<ThreadedComments xmlns="http://schemas.microsoft.com/office/spreadsheetml/2018/threadedcomments" xmlns:x="http://schemas.openxmlformats.org/spreadsheetml/2006/main">
  <threadedComment ref="L57" dT="2023-03-30T03:09:00.68" personId="{189B9B0F-E5B6-4906-ABE0-43747024AF43}" id="{73F2DFE5-C07C-4733-93EB-C2CE0DE173AB}">
    <text>Clinics to review by their staffing positions if costs are included in PPS rebase calculations.
1 = Yes cost included
0 = No cost not included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1EFF-946B-49F9-ADE7-A433C600632E}">
  <sheetPr>
    <tabColor theme="8" tint="0.59999389629810485"/>
  </sheetPr>
  <dimension ref="A1:F55"/>
  <sheetViews>
    <sheetView showGridLines="0" tabSelected="1" topLeftCell="A37" zoomScaleNormal="100" workbookViewId="0">
      <selection activeCell="A43" sqref="A43"/>
    </sheetView>
  </sheetViews>
  <sheetFormatPr baseColWidth="10" defaultColWidth="8.83203125" defaultRowHeight="15" x14ac:dyDescent="0.2"/>
  <cols>
    <col min="1" max="1" width="16" bestFit="1" customWidth="1"/>
    <col min="2" max="2" width="27.83203125" bestFit="1" customWidth="1"/>
    <col min="3" max="4" width="18.33203125" customWidth="1"/>
    <col min="5" max="5" width="74.83203125" customWidth="1"/>
  </cols>
  <sheetData>
    <row r="1" spans="1:5" ht="31" x14ac:dyDescent="0.35">
      <c r="A1" s="7" t="s">
        <v>33</v>
      </c>
    </row>
    <row r="2" spans="1:5" ht="26" x14ac:dyDescent="0.3">
      <c r="A2" s="51" t="s">
        <v>34</v>
      </c>
    </row>
    <row r="3" spans="1:5" ht="21" x14ac:dyDescent="0.25">
      <c r="A3" s="52" t="s">
        <v>82</v>
      </c>
    </row>
    <row r="4" spans="1:5" ht="20" thickBot="1" x14ac:dyDescent="0.3">
      <c r="A4" s="144" t="s">
        <v>153</v>
      </c>
    </row>
    <row r="5" spans="1:5" ht="19" x14ac:dyDescent="0.25">
      <c r="A5" s="168" t="s">
        <v>146</v>
      </c>
      <c r="B5" s="169"/>
      <c r="C5" s="169"/>
      <c r="D5" s="169"/>
      <c r="E5" s="170"/>
    </row>
    <row r="6" spans="1:5" x14ac:dyDescent="0.2">
      <c r="A6" s="171" t="s">
        <v>163</v>
      </c>
      <c r="B6" s="71"/>
      <c r="C6" s="71"/>
      <c r="D6" s="71"/>
      <c r="E6" s="150"/>
    </row>
    <row r="7" spans="1:5" ht="16" thickBot="1" x14ac:dyDescent="0.25">
      <c r="A7" s="180" t="s">
        <v>166</v>
      </c>
      <c r="B7" s="152"/>
      <c r="C7" s="152"/>
      <c r="D7" s="152"/>
      <c r="E7" s="153"/>
    </row>
    <row r="8" spans="1:5" ht="16" thickBot="1" x14ac:dyDescent="0.25">
      <c r="A8" s="71"/>
      <c r="B8" s="71"/>
      <c r="C8" s="71"/>
      <c r="D8" s="71"/>
      <c r="E8" s="71"/>
    </row>
    <row r="9" spans="1:5" ht="19" x14ac:dyDescent="0.25">
      <c r="A9" s="237" t="s">
        <v>245</v>
      </c>
      <c r="B9" s="147"/>
      <c r="C9" s="147"/>
      <c r="D9" s="147"/>
      <c r="E9" s="148"/>
    </row>
    <row r="10" spans="1:5" ht="16" thickBot="1" x14ac:dyDescent="0.25">
      <c r="A10" s="151" t="s">
        <v>244</v>
      </c>
      <c r="B10" s="152"/>
      <c r="C10" s="152"/>
      <c r="D10" s="152"/>
      <c r="E10" s="153"/>
    </row>
    <row r="11" spans="1:5" ht="16" thickBot="1" x14ac:dyDescent="0.25">
      <c r="A11" s="71"/>
      <c r="B11" s="71"/>
      <c r="C11" s="71"/>
      <c r="D11" s="71"/>
      <c r="E11" s="71"/>
    </row>
    <row r="12" spans="1:5" ht="19" x14ac:dyDescent="0.25">
      <c r="A12" s="168" t="s">
        <v>150</v>
      </c>
      <c r="B12" s="169"/>
      <c r="C12" s="169"/>
      <c r="D12" s="169"/>
      <c r="E12" s="170"/>
    </row>
    <row r="13" spans="1:5" x14ac:dyDescent="0.2">
      <c r="A13" s="171" t="s">
        <v>151</v>
      </c>
      <c r="B13" s="71"/>
      <c r="C13" s="71"/>
      <c r="D13" s="71"/>
      <c r="E13" s="150"/>
    </row>
    <row r="14" spans="1:5" x14ac:dyDescent="0.2">
      <c r="A14" s="171" t="s">
        <v>190</v>
      </c>
      <c r="B14" s="141"/>
      <c r="C14" s="142"/>
      <c r="D14" s="142"/>
      <c r="E14" s="172"/>
    </row>
    <row r="15" spans="1:5" ht="18" thickBot="1" x14ac:dyDescent="0.25">
      <c r="A15" s="173" t="s">
        <v>155</v>
      </c>
      <c r="B15" s="143"/>
      <c r="C15" s="143"/>
      <c r="D15" s="143"/>
      <c r="E15" s="174"/>
    </row>
    <row r="16" spans="1:5" ht="19" x14ac:dyDescent="0.2">
      <c r="A16" s="175"/>
      <c r="B16" s="161" t="s">
        <v>148</v>
      </c>
      <c r="C16" s="147" t="s">
        <v>267</v>
      </c>
      <c r="D16" s="147"/>
      <c r="E16" s="148"/>
    </row>
    <row r="17" spans="1:6" ht="19" x14ac:dyDescent="0.2">
      <c r="A17" s="175"/>
      <c r="B17" s="149" t="s">
        <v>268</v>
      </c>
      <c r="D17" s="71"/>
      <c r="E17" s="150"/>
    </row>
    <row r="18" spans="1:6" ht="19" x14ac:dyDescent="0.2">
      <c r="A18" s="175"/>
      <c r="B18" s="149" t="s">
        <v>248</v>
      </c>
      <c r="D18" s="71"/>
      <c r="E18" s="150"/>
    </row>
    <row r="19" spans="1:6" ht="20" thickBot="1" x14ac:dyDescent="0.25">
      <c r="A19" s="175"/>
      <c r="B19" s="151" t="s">
        <v>152</v>
      </c>
      <c r="C19" s="152"/>
      <c r="D19" s="152"/>
      <c r="E19" s="153"/>
    </row>
    <row r="20" spans="1:6" ht="19" x14ac:dyDescent="0.2">
      <c r="A20" s="175"/>
      <c r="B20" s="162" t="s">
        <v>149</v>
      </c>
      <c r="C20" s="154" t="s">
        <v>373</v>
      </c>
      <c r="D20" s="147"/>
      <c r="E20" s="148"/>
    </row>
    <row r="21" spans="1:6" ht="20" thickBot="1" x14ac:dyDescent="0.25">
      <c r="A21" s="175"/>
      <c r="B21" s="239" t="s">
        <v>374</v>
      </c>
      <c r="C21" s="240"/>
      <c r="D21" s="241"/>
      <c r="E21" s="242"/>
      <c r="F21" s="146"/>
    </row>
    <row r="22" spans="1:6" ht="19" x14ac:dyDescent="0.2">
      <c r="A22" s="175"/>
      <c r="B22" s="243" t="s">
        <v>147</v>
      </c>
      <c r="C22" s="169"/>
      <c r="D22" s="169"/>
      <c r="E22" s="170"/>
    </row>
    <row r="23" spans="1:6" x14ac:dyDescent="0.2">
      <c r="A23" s="158"/>
      <c r="B23" s="158" t="s">
        <v>372</v>
      </c>
      <c r="E23" s="159"/>
    </row>
    <row r="24" spans="1:6" ht="14.5" customHeight="1" x14ac:dyDescent="0.2">
      <c r="A24" s="175"/>
      <c r="B24" s="160" t="s">
        <v>250</v>
      </c>
      <c r="C24" s="145"/>
      <c r="D24" s="145"/>
      <c r="E24" s="155"/>
    </row>
    <row r="25" spans="1:6" ht="14.5" customHeight="1" x14ac:dyDescent="0.2">
      <c r="A25" s="158"/>
      <c r="B25" s="149" t="s">
        <v>251</v>
      </c>
      <c r="D25" s="71"/>
      <c r="E25" s="150"/>
    </row>
    <row r="26" spans="1:6" ht="14.5" customHeight="1" x14ac:dyDescent="0.2">
      <c r="A26" s="158"/>
      <c r="B26" s="149" t="s">
        <v>252</v>
      </c>
      <c r="D26" s="71"/>
      <c r="E26" s="150"/>
    </row>
    <row r="27" spans="1:6" ht="16" thickBot="1" x14ac:dyDescent="0.25">
      <c r="A27" s="158"/>
      <c r="B27" s="151" t="s">
        <v>154</v>
      </c>
      <c r="C27" s="152"/>
      <c r="D27" s="152"/>
      <c r="E27" s="153"/>
    </row>
    <row r="28" spans="1:6" x14ac:dyDescent="0.2">
      <c r="A28" s="158"/>
      <c r="B28" s="71"/>
      <c r="C28" s="71"/>
      <c r="D28" s="71"/>
      <c r="E28" s="150"/>
    </row>
    <row r="29" spans="1:6" ht="18" thickBot="1" x14ac:dyDescent="0.25">
      <c r="A29" s="173" t="s">
        <v>156</v>
      </c>
      <c r="B29" s="140"/>
      <c r="C29" s="140"/>
      <c r="D29" s="140"/>
      <c r="E29" s="176"/>
    </row>
    <row r="30" spans="1:6" ht="16" thickBot="1" x14ac:dyDescent="0.25">
      <c r="A30" s="158"/>
      <c r="B30" s="163" t="s">
        <v>158</v>
      </c>
      <c r="C30" s="164" t="s">
        <v>249</v>
      </c>
      <c r="D30" s="164"/>
      <c r="E30" s="165"/>
    </row>
    <row r="31" spans="1:6" ht="18" thickBot="1" x14ac:dyDescent="0.25">
      <c r="A31" s="158"/>
      <c r="B31" s="151" t="s">
        <v>298</v>
      </c>
      <c r="C31" s="152"/>
      <c r="D31" s="152"/>
      <c r="E31" s="153"/>
    </row>
    <row r="32" spans="1:6" ht="16" thickBot="1" x14ac:dyDescent="0.25">
      <c r="A32" s="158"/>
      <c r="B32" s="149" t="s">
        <v>340</v>
      </c>
      <c r="C32" s="71"/>
      <c r="D32" s="71"/>
      <c r="E32" s="150"/>
    </row>
    <row r="33" spans="1:5" x14ac:dyDescent="0.2">
      <c r="A33" s="158"/>
      <c r="B33" s="166" t="s">
        <v>187</v>
      </c>
      <c r="C33" s="147" t="s">
        <v>188</v>
      </c>
      <c r="D33" s="147"/>
      <c r="E33" s="148"/>
    </row>
    <row r="34" spans="1:5" ht="18" thickBot="1" x14ac:dyDescent="0.25">
      <c r="A34" s="158"/>
      <c r="B34" s="151" t="s">
        <v>157</v>
      </c>
      <c r="C34" s="152"/>
      <c r="D34" s="152"/>
      <c r="E34" s="153"/>
    </row>
    <row r="35" spans="1:5" x14ac:dyDescent="0.2">
      <c r="A35" s="158"/>
      <c r="B35" s="167" t="s">
        <v>159</v>
      </c>
      <c r="C35" s="147" t="s">
        <v>160</v>
      </c>
      <c r="D35" s="147"/>
      <c r="E35" s="148"/>
    </row>
    <row r="36" spans="1:5" ht="18" thickBot="1" x14ac:dyDescent="0.25">
      <c r="A36" s="158"/>
      <c r="B36" s="149" t="s">
        <v>157</v>
      </c>
      <c r="C36" s="71"/>
      <c r="D36" s="71"/>
      <c r="E36" s="150"/>
    </row>
    <row r="37" spans="1:5" ht="16" thickBot="1" x14ac:dyDescent="0.25">
      <c r="A37" s="156"/>
      <c r="B37" s="177" t="s">
        <v>161</v>
      </c>
      <c r="C37" s="178" t="s">
        <v>167</v>
      </c>
      <c r="D37" s="178"/>
      <c r="E37" s="179"/>
    </row>
    <row r="38" spans="1:5" ht="16" thickBot="1" x14ac:dyDescent="0.25">
      <c r="A38" s="71"/>
      <c r="D38" s="71"/>
      <c r="E38" s="71"/>
    </row>
    <row r="39" spans="1:5" ht="19" x14ac:dyDescent="0.25">
      <c r="A39" s="168" t="s">
        <v>162</v>
      </c>
      <c r="B39" s="169"/>
      <c r="C39" s="169"/>
      <c r="D39" s="169"/>
      <c r="E39" s="170"/>
    </row>
    <row r="40" spans="1:5" x14ac:dyDescent="0.2">
      <c r="A40" s="158" t="s">
        <v>164</v>
      </c>
      <c r="E40" s="181"/>
    </row>
    <row r="41" spans="1:5" ht="16" thickBot="1" x14ac:dyDescent="0.25">
      <c r="A41" s="156" t="s">
        <v>427</v>
      </c>
      <c r="B41" s="157"/>
      <c r="C41" s="157"/>
      <c r="D41" s="157"/>
      <c r="E41" s="182"/>
    </row>
    <row r="42" spans="1:5" ht="16" thickBot="1" x14ac:dyDescent="0.25"/>
    <row r="43" spans="1:5" ht="19" x14ac:dyDescent="0.25">
      <c r="A43" s="335" t="s">
        <v>430</v>
      </c>
      <c r="B43" s="147"/>
      <c r="C43" s="147"/>
      <c r="D43" s="147"/>
      <c r="E43" s="148"/>
    </row>
    <row r="44" spans="1:5" s="326" customFormat="1" x14ac:dyDescent="0.2">
      <c r="A44" s="173" t="s">
        <v>431</v>
      </c>
      <c r="B44" s="143"/>
      <c r="C44" s="143"/>
      <c r="D44" s="143"/>
      <c r="E44" s="174"/>
    </row>
    <row r="45" spans="1:5" s="326" customFormat="1" x14ac:dyDescent="0.2">
      <c r="A45" s="158"/>
      <c r="E45" s="159"/>
    </row>
    <row r="46" spans="1:5" s="326" customFormat="1" ht="48" x14ac:dyDescent="0.2">
      <c r="A46" s="336" t="s">
        <v>439</v>
      </c>
      <c r="B46" s="328"/>
      <c r="C46" s="328"/>
      <c r="D46" s="328"/>
      <c r="E46" s="337"/>
    </row>
    <row r="47" spans="1:5" s="326" customFormat="1" x14ac:dyDescent="0.2">
      <c r="A47" s="158"/>
      <c r="B47" s="329" t="s">
        <v>432</v>
      </c>
      <c r="C47" s="330"/>
      <c r="D47" s="330"/>
      <c r="E47" s="338"/>
    </row>
    <row r="48" spans="1:5" s="326" customFormat="1" x14ac:dyDescent="0.2">
      <c r="A48" s="158"/>
      <c r="B48" s="331"/>
      <c r="C48" s="330"/>
      <c r="D48" s="330"/>
      <c r="E48" s="338"/>
    </row>
    <row r="49" spans="1:5" s="326" customFormat="1" ht="32" x14ac:dyDescent="0.2">
      <c r="A49" s="336" t="s">
        <v>438</v>
      </c>
      <c r="B49" s="328"/>
      <c r="C49" s="328"/>
      <c r="D49" s="328"/>
      <c r="E49" s="337"/>
    </row>
    <row r="50" spans="1:5" s="326" customFormat="1" x14ac:dyDescent="0.2">
      <c r="A50" s="327"/>
      <c r="B50" s="332"/>
      <c r="C50" s="332"/>
      <c r="D50" s="332"/>
      <c r="E50" s="172"/>
    </row>
    <row r="51" spans="1:5" s="326" customFormat="1" x14ac:dyDescent="0.2">
      <c r="A51" s="343" t="s">
        <v>433</v>
      </c>
      <c r="B51" s="330"/>
      <c r="C51" s="330"/>
      <c r="D51" s="330"/>
      <c r="E51" s="338"/>
    </row>
    <row r="52" spans="1:5" s="326" customFormat="1" x14ac:dyDescent="0.2">
      <c r="A52" s="158"/>
      <c r="B52" s="329" t="s">
        <v>434</v>
      </c>
      <c r="C52" s="330"/>
      <c r="D52" s="330"/>
      <c r="E52" s="338"/>
    </row>
    <row r="53" spans="1:5" s="326" customFormat="1" x14ac:dyDescent="0.2">
      <c r="A53" s="158"/>
      <c r="B53" s="329" t="s">
        <v>435</v>
      </c>
      <c r="C53" s="330"/>
      <c r="D53" s="330"/>
      <c r="E53" s="338"/>
    </row>
    <row r="54" spans="1:5" s="326" customFormat="1" ht="32" x14ac:dyDescent="0.2">
      <c r="A54" s="158"/>
      <c r="B54" s="333" t="s">
        <v>436</v>
      </c>
      <c r="C54" s="334"/>
      <c r="D54" s="334"/>
      <c r="E54" s="339"/>
    </row>
    <row r="55" spans="1:5" s="326" customFormat="1" ht="16" thickBot="1" x14ac:dyDescent="0.25">
      <c r="A55" s="156"/>
      <c r="B55" s="340" t="s">
        <v>437</v>
      </c>
      <c r="C55" s="341"/>
      <c r="D55" s="341"/>
      <c r="E55" s="3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FC38-B773-4C0F-B0D8-8C756ADCD09C}">
  <sheetPr>
    <tabColor rgb="FFF8CBAD"/>
  </sheetPr>
  <dimension ref="A1:O54"/>
  <sheetViews>
    <sheetView showGridLines="0" zoomScale="85" zoomScaleNormal="85" workbookViewId="0"/>
  </sheetViews>
  <sheetFormatPr baseColWidth="10" defaultColWidth="8.83203125" defaultRowHeight="15" x14ac:dyDescent="0.2"/>
  <cols>
    <col min="1" max="1" width="1.6640625" customWidth="1"/>
    <col min="2" max="2" width="40.1640625" customWidth="1"/>
    <col min="3" max="3" width="39.1640625" bestFit="1" customWidth="1"/>
    <col min="4" max="9" width="17.1640625" customWidth="1"/>
    <col min="10" max="10" width="65.83203125" customWidth="1"/>
    <col min="11" max="15" width="15.6640625" customWidth="1"/>
    <col min="16" max="16" width="13.6640625" bestFit="1" customWidth="1"/>
    <col min="17" max="17" width="1.6640625" customWidth="1"/>
    <col min="18" max="18" width="32" bestFit="1" customWidth="1"/>
    <col min="19" max="19" width="15.6640625" customWidth="1"/>
    <col min="20" max="20" width="14.1640625" customWidth="1"/>
    <col min="21" max="21" width="14" customWidth="1"/>
    <col min="22" max="22" width="15.6640625" customWidth="1"/>
    <col min="23" max="23" width="14.1640625" customWidth="1"/>
    <col min="24" max="24" width="14" customWidth="1"/>
    <col min="25" max="25" width="15.6640625" customWidth="1"/>
    <col min="26" max="26" width="14.1640625" customWidth="1"/>
    <col min="27" max="27" width="14" customWidth="1"/>
    <col min="28" max="28" width="15.6640625" customWidth="1"/>
    <col min="29" max="29" width="14.1640625" customWidth="1"/>
    <col min="30" max="30" width="14" customWidth="1"/>
    <col min="31" max="31" width="15.6640625" customWidth="1"/>
    <col min="32" max="32" width="14.1640625" customWidth="1"/>
    <col min="33" max="33" width="14" customWidth="1"/>
    <col min="34" max="34" width="15.6640625" customWidth="1"/>
    <col min="35" max="35" width="14.1640625" customWidth="1"/>
    <col min="36" max="36" width="14" customWidth="1"/>
  </cols>
  <sheetData>
    <row r="1" spans="1:15" ht="31" x14ac:dyDescent="0.35">
      <c r="A1" s="7" t="s">
        <v>33</v>
      </c>
      <c r="E1" s="120" t="s">
        <v>81</v>
      </c>
      <c r="O1" s="1"/>
    </row>
    <row r="2" spans="1:15" ht="26" x14ac:dyDescent="0.3">
      <c r="A2" s="51" t="s">
        <v>34</v>
      </c>
      <c r="E2" s="53" t="s">
        <v>79</v>
      </c>
      <c r="O2" s="1"/>
    </row>
    <row r="3" spans="1:15" ht="21" x14ac:dyDescent="0.25">
      <c r="A3" s="52" t="str" cm="1">
        <f t="array" aca="1" ref="A3" ca="1">RIGHT(CELL("filename",D2),LEN(CELL("filename",D2))-FIND("]",CELL("filename",D2)))</f>
        <v>1. Staffing and Salary Cost</v>
      </c>
      <c r="E3" s="54" t="s">
        <v>189</v>
      </c>
      <c r="O3" s="1"/>
    </row>
    <row r="4" spans="1:15" ht="19" x14ac:dyDescent="0.25">
      <c r="A4" s="75" t="str">
        <f>+'0. Instructions'!A4</f>
        <v>Clinic Site XYZ</v>
      </c>
      <c r="E4" s="55" t="s">
        <v>80</v>
      </c>
    </row>
    <row r="5" spans="1:15" ht="19" x14ac:dyDescent="0.25">
      <c r="A5" s="75"/>
    </row>
    <row r="6" spans="1:15" ht="19" x14ac:dyDescent="0.25">
      <c r="A6" s="75" t="s">
        <v>262</v>
      </c>
    </row>
    <row r="7" spans="1:15" ht="17" x14ac:dyDescent="0.2">
      <c r="B7" s="29" t="s">
        <v>178</v>
      </c>
      <c r="C7" s="23"/>
      <c r="D7" s="23"/>
      <c r="E7" s="23"/>
      <c r="F7" s="23"/>
      <c r="G7" s="23"/>
      <c r="H7" s="23"/>
    </row>
    <row r="8" spans="1:15" ht="34" x14ac:dyDescent="0.2">
      <c r="B8" s="5" t="s">
        <v>0</v>
      </c>
      <c r="C8" s="5" t="s">
        <v>22</v>
      </c>
      <c r="D8" s="5" t="s">
        <v>37</v>
      </c>
      <c r="E8" s="5" t="s">
        <v>85</v>
      </c>
      <c r="F8" s="5" t="s">
        <v>86</v>
      </c>
      <c r="G8" s="5" t="s">
        <v>1</v>
      </c>
      <c r="H8" s="5" t="s">
        <v>2</v>
      </c>
    </row>
    <row r="9" spans="1:15" ht="16" x14ac:dyDescent="0.2">
      <c r="B9" s="120" t="s">
        <v>142</v>
      </c>
      <c r="C9" s="121"/>
      <c r="D9" s="121"/>
      <c r="E9" s="121"/>
      <c r="F9" s="121"/>
      <c r="G9" s="121"/>
      <c r="H9" s="121"/>
    </row>
    <row r="10" spans="1:15" x14ac:dyDescent="0.2">
      <c r="B10" s="6" t="s">
        <v>40</v>
      </c>
      <c r="C10" s="6" t="s">
        <v>23</v>
      </c>
      <c r="D10" s="15">
        <v>5</v>
      </c>
      <c r="E10" s="61">
        <v>250000</v>
      </c>
      <c r="F10" s="8">
        <v>0.15</v>
      </c>
      <c r="G10" s="14">
        <f>+E10*(1+F10)</f>
        <v>287500</v>
      </c>
      <c r="H10" s="14">
        <f>+D10*G10</f>
        <v>1437500</v>
      </c>
    </row>
    <row r="11" spans="1:15" x14ac:dyDescent="0.2">
      <c r="B11" s="6" t="s">
        <v>41</v>
      </c>
      <c r="C11" s="6" t="s">
        <v>23</v>
      </c>
      <c r="D11" s="15">
        <v>3</v>
      </c>
      <c r="E11" s="61">
        <v>200000</v>
      </c>
      <c r="F11" s="8">
        <v>0.15</v>
      </c>
      <c r="G11" s="14">
        <f>+E11*(1+F11)</f>
        <v>229999.99999999997</v>
      </c>
      <c r="H11" s="14">
        <f t="shared" ref="H11:H12" si="0">+D11*G11</f>
        <v>689999.99999999988</v>
      </c>
    </row>
    <row r="12" spans="1:15" ht="16" thickBot="1" x14ac:dyDescent="0.25">
      <c r="B12" s="30" t="s">
        <v>42</v>
      </c>
      <c r="C12" s="30" t="s">
        <v>23</v>
      </c>
      <c r="D12" s="93">
        <v>2</v>
      </c>
      <c r="E12" s="94">
        <v>200000</v>
      </c>
      <c r="F12" s="95">
        <v>0.15</v>
      </c>
      <c r="G12" s="38">
        <f>+E12*(1+F12)</f>
        <v>229999.99999999997</v>
      </c>
      <c r="H12" s="38">
        <f t="shared" si="0"/>
        <v>459999.99999999994</v>
      </c>
    </row>
    <row r="13" spans="1:15" ht="17" thickTop="1" x14ac:dyDescent="0.2">
      <c r="B13" s="266" t="s">
        <v>127</v>
      </c>
      <c r="C13" s="266"/>
      <c r="D13" s="267">
        <f>SUM(D10:D12)</f>
        <v>10</v>
      </c>
      <c r="E13" s="266"/>
      <c r="F13" s="266"/>
      <c r="G13" s="266"/>
      <c r="H13" s="268">
        <f>SUM(H10:H12)</f>
        <v>2587500</v>
      </c>
    </row>
    <row r="14" spans="1:15" x14ac:dyDescent="0.2">
      <c r="B14" s="6" t="s">
        <v>292</v>
      </c>
      <c r="C14" s="6" t="s">
        <v>426</v>
      </c>
      <c r="D14" s="15">
        <v>1</v>
      </c>
      <c r="E14" s="61">
        <v>180000</v>
      </c>
      <c r="F14" s="8">
        <v>0.15</v>
      </c>
      <c r="G14" s="14">
        <f>+E14*(1+F14)</f>
        <v>206999.99999999997</v>
      </c>
      <c r="H14" s="14">
        <f>+D14*G14</f>
        <v>206999.99999999997</v>
      </c>
    </row>
    <row r="15" spans="1:15" x14ac:dyDescent="0.2">
      <c r="B15" s="6" t="s">
        <v>44</v>
      </c>
      <c r="C15" s="6" t="s">
        <v>23</v>
      </c>
      <c r="D15" s="15">
        <v>10</v>
      </c>
      <c r="E15" s="61">
        <v>60000</v>
      </c>
      <c r="F15" s="8">
        <v>0.2</v>
      </c>
      <c r="G15" s="14">
        <f>+E15*(1+F15)</f>
        <v>72000</v>
      </c>
      <c r="H15" s="14">
        <f>+D15*G15</f>
        <v>720000</v>
      </c>
    </row>
    <row r="16" spans="1:15" ht="16" thickBot="1" x14ac:dyDescent="0.25">
      <c r="B16" s="30" t="s">
        <v>48</v>
      </c>
      <c r="C16" s="30" t="s">
        <v>28</v>
      </c>
      <c r="D16" s="93">
        <v>1</v>
      </c>
      <c r="E16" s="94">
        <v>60000</v>
      </c>
      <c r="F16" s="95">
        <v>0.2</v>
      </c>
      <c r="G16" s="38">
        <f>+E16*(1+F16)</f>
        <v>72000</v>
      </c>
      <c r="H16" s="38">
        <f>+D16*G16</f>
        <v>72000</v>
      </c>
    </row>
    <row r="17" spans="2:8" ht="17" thickTop="1" x14ac:dyDescent="0.2">
      <c r="B17" s="266" t="s">
        <v>299</v>
      </c>
      <c r="C17" s="266"/>
      <c r="D17" s="267">
        <f>+SUM(D13:D16)</f>
        <v>22</v>
      </c>
      <c r="E17" s="266"/>
      <c r="F17" s="266"/>
      <c r="G17" s="266"/>
      <c r="H17" s="268">
        <f>+SUM(H13:H16)</f>
        <v>3586500</v>
      </c>
    </row>
    <row r="18" spans="2:8" x14ac:dyDescent="0.2">
      <c r="B18" s="120" t="s">
        <v>143</v>
      </c>
      <c r="C18" s="122"/>
      <c r="D18" s="123"/>
      <c r="E18" s="124"/>
      <c r="F18" s="124"/>
      <c r="G18" s="124"/>
      <c r="H18" s="124"/>
    </row>
    <row r="19" spans="2:8" x14ac:dyDescent="0.2">
      <c r="B19" s="24" t="s">
        <v>19</v>
      </c>
      <c r="C19" s="24" t="s">
        <v>29</v>
      </c>
      <c r="D19" s="33">
        <v>2</v>
      </c>
      <c r="E19" s="63">
        <v>200000</v>
      </c>
      <c r="F19" s="96">
        <v>0.15</v>
      </c>
      <c r="G19" s="64">
        <f t="shared" ref="G19:G39" si="1">+E19*(1+F19)</f>
        <v>229999.99999999997</v>
      </c>
      <c r="H19" s="64">
        <f t="shared" ref="H19:H39" si="2">+D19*G19</f>
        <v>459999.99999999994</v>
      </c>
    </row>
    <row r="20" spans="2:8" x14ac:dyDescent="0.2">
      <c r="B20" s="232" t="s">
        <v>43</v>
      </c>
      <c r="C20" s="232" t="s">
        <v>246</v>
      </c>
      <c r="D20" s="233">
        <v>2</v>
      </c>
      <c r="E20" s="72">
        <v>210000</v>
      </c>
      <c r="F20" s="234">
        <v>0.15</v>
      </c>
      <c r="G20" s="235">
        <f t="shared" si="1"/>
        <v>241499.99999999997</v>
      </c>
      <c r="H20" s="235">
        <f t="shared" si="2"/>
        <v>482999.99999999994</v>
      </c>
    </row>
    <row r="21" spans="2:8" x14ac:dyDescent="0.2">
      <c r="B21" s="6" t="s">
        <v>240</v>
      </c>
      <c r="C21" s="6" t="s">
        <v>27</v>
      </c>
      <c r="D21" s="15">
        <v>0</v>
      </c>
      <c r="E21" s="61">
        <v>200000</v>
      </c>
      <c r="F21" s="8">
        <v>0.15</v>
      </c>
      <c r="G21" s="14">
        <f t="shared" si="1"/>
        <v>229999.99999999997</v>
      </c>
      <c r="H21" s="14">
        <f t="shared" si="2"/>
        <v>0</v>
      </c>
    </row>
    <row r="22" spans="2:8" x14ac:dyDescent="0.2">
      <c r="B22" s="6" t="s">
        <v>241</v>
      </c>
      <c r="C22" s="6" t="s">
        <v>247</v>
      </c>
      <c r="D22" s="15">
        <v>0</v>
      </c>
      <c r="E22" s="61">
        <v>250000</v>
      </c>
      <c r="F22" s="8">
        <v>0.15</v>
      </c>
      <c r="G22" s="14">
        <f t="shared" si="1"/>
        <v>287500</v>
      </c>
      <c r="H22" s="14">
        <f t="shared" si="2"/>
        <v>0</v>
      </c>
    </row>
    <row r="23" spans="2:8" x14ac:dyDescent="0.2">
      <c r="B23" s="6" t="s">
        <v>141</v>
      </c>
      <c r="C23" s="6" t="s">
        <v>30</v>
      </c>
      <c r="D23" s="15">
        <v>0</v>
      </c>
      <c r="E23" s="61">
        <v>100000</v>
      </c>
      <c r="F23" s="8">
        <v>0.2</v>
      </c>
      <c r="G23" s="14">
        <f t="shared" si="1"/>
        <v>120000</v>
      </c>
      <c r="H23" s="14">
        <f t="shared" si="2"/>
        <v>0</v>
      </c>
    </row>
    <row r="24" spans="2:8" x14ac:dyDescent="0.2">
      <c r="B24" s="6" t="s">
        <v>45</v>
      </c>
      <c r="C24" s="6" t="s">
        <v>30</v>
      </c>
      <c r="D24" s="15">
        <v>0</v>
      </c>
      <c r="E24" s="61">
        <v>80000</v>
      </c>
      <c r="F24" s="8">
        <v>0.2</v>
      </c>
      <c r="G24" s="14">
        <f t="shared" si="1"/>
        <v>96000</v>
      </c>
      <c r="H24" s="14">
        <f t="shared" si="2"/>
        <v>0</v>
      </c>
    </row>
    <row r="25" spans="2:8" x14ac:dyDescent="0.2">
      <c r="B25" s="6" t="s">
        <v>294</v>
      </c>
      <c r="C25" s="6" t="s">
        <v>26</v>
      </c>
      <c r="D25" s="15">
        <v>0</v>
      </c>
      <c r="E25" s="61">
        <v>210000</v>
      </c>
      <c r="F25" s="8">
        <v>0.15</v>
      </c>
      <c r="G25" s="14">
        <f t="shared" si="1"/>
        <v>241499.99999999997</v>
      </c>
      <c r="H25" s="14">
        <f t="shared" si="2"/>
        <v>0</v>
      </c>
    </row>
    <row r="26" spans="2:8" x14ac:dyDescent="0.2">
      <c r="B26" s="6" t="s">
        <v>46</v>
      </c>
      <c r="C26" s="6" t="s">
        <v>26</v>
      </c>
      <c r="D26" s="15">
        <v>0</v>
      </c>
      <c r="E26" s="61">
        <v>60000</v>
      </c>
      <c r="F26" s="8">
        <v>0.2</v>
      </c>
      <c r="G26" s="14">
        <f t="shared" si="1"/>
        <v>72000</v>
      </c>
      <c r="H26" s="14">
        <f t="shared" si="2"/>
        <v>0</v>
      </c>
    </row>
    <row r="27" spans="2:8" x14ac:dyDescent="0.2">
      <c r="B27" s="6" t="s">
        <v>47</v>
      </c>
      <c r="C27" s="6" t="s">
        <v>24</v>
      </c>
      <c r="D27" s="15">
        <v>0</v>
      </c>
      <c r="E27" s="61">
        <v>60000</v>
      </c>
      <c r="F27" s="8">
        <v>0.2</v>
      </c>
      <c r="G27" s="14">
        <f t="shared" si="1"/>
        <v>72000</v>
      </c>
      <c r="H27" s="14">
        <f t="shared" si="2"/>
        <v>0</v>
      </c>
    </row>
    <row r="28" spans="2:8" x14ac:dyDescent="0.2">
      <c r="B28" s="6" t="s">
        <v>242</v>
      </c>
      <c r="C28" s="6" t="s">
        <v>25</v>
      </c>
      <c r="D28" s="15">
        <v>0</v>
      </c>
      <c r="E28" s="61">
        <v>210000</v>
      </c>
      <c r="F28" s="8">
        <v>0.15</v>
      </c>
      <c r="G28" s="14">
        <f t="shared" si="1"/>
        <v>241499.99999999997</v>
      </c>
      <c r="H28" s="14">
        <f t="shared" si="2"/>
        <v>0</v>
      </c>
    </row>
    <row r="29" spans="2:8" x14ac:dyDescent="0.2">
      <c r="B29" s="6" t="s">
        <v>243</v>
      </c>
      <c r="C29" s="6" t="s">
        <v>25</v>
      </c>
      <c r="D29" s="15">
        <v>0</v>
      </c>
      <c r="E29" s="61">
        <v>60000</v>
      </c>
      <c r="F29" s="8">
        <v>0.2</v>
      </c>
      <c r="G29" s="14">
        <f t="shared" ref="G29:G38" si="3">+E29*(1+F29)</f>
        <v>72000</v>
      </c>
      <c r="H29" s="14">
        <f t="shared" ref="H29:H38" si="4">+D29*G29</f>
        <v>0</v>
      </c>
    </row>
    <row r="30" spans="2:8" x14ac:dyDescent="0.2">
      <c r="B30" s="15" t="s">
        <v>297</v>
      </c>
      <c r="C30" s="15" t="s">
        <v>293</v>
      </c>
      <c r="D30" s="15"/>
      <c r="E30" s="61"/>
      <c r="F30" s="8">
        <v>0</v>
      </c>
      <c r="G30" s="14">
        <f t="shared" si="3"/>
        <v>0</v>
      </c>
      <c r="H30" s="14">
        <f t="shared" si="4"/>
        <v>0</v>
      </c>
    </row>
    <row r="31" spans="2:8" x14ac:dyDescent="0.2">
      <c r="B31" s="15" t="s">
        <v>361</v>
      </c>
      <c r="C31" s="15" t="s">
        <v>293</v>
      </c>
      <c r="D31" s="15"/>
      <c r="E31" s="61"/>
      <c r="F31" s="8">
        <v>0</v>
      </c>
      <c r="G31" s="14">
        <f t="shared" si="3"/>
        <v>0</v>
      </c>
      <c r="H31" s="14">
        <f t="shared" si="4"/>
        <v>0</v>
      </c>
    </row>
    <row r="32" spans="2:8" x14ac:dyDescent="0.2">
      <c r="B32" s="15" t="s">
        <v>362</v>
      </c>
      <c r="C32" s="15" t="s">
        <v>293</v>
      </c>
      <c r="D32" s="15"/>
      <c r="E32" s="61"/>
      <c r="F32" s="8">
        <v>0</v>
      </c>
      <c r="G32" s="14">
        <f t="shared" si="3"/>
        <v>0</v>
      </c>
      <c r="H32" s="14">
        <f t="shared" si="4"/>
        <v>0</v>
      </c>
    </row>
    <row r="33" spans="1:8" x14ac:dyDescent="0.2">
      <c r="B33" s="15" t="s">
        <v>363</v>
      </c>
      <c r="C33" s="15" t="s">
        <v>293</v>
      </c>
      <c r="D33" s="15"/>
      <c r="E33" s="61"/>
      <c r="F33" s="8">
        <v>0</v>
      </c>
      <c r="G33" s="14">
        <f t="shared" si="3"/>
        <v>0</v>
      </c>
      <c r="H33" s="14">
        <f t="shared" si="4"/>
        <v>0</v>
      </c>
    </row>
    <row r="34" spans="1:8" x14ac:dyDescent="0.2">
      <c r="B34" s="15" t="s">
        <v>364</v>
      </c>
      <c r="C34" s="15" t="s">
        <v>293</v>
      </c>
      <c r="D34" s="15"/>
      <c r="E34" s="61"/>
      <c r="F34" s="8">
        <v>0</v>
      </c>
      <c r="G34" s="14">
        <f t="shared" si="3"/>
        <v>0</v>
      </c>
      <c r="H34" s="14">
        <f t="shared" si="4"/>
        <v>0</v>
      </c>
    </row>
    <row r="35" spans="1:8" x14ac:dyDescent="0.2">
      <c r="B35" s="15" t="s">
        <v>365</v>
      </c>
      <c r="C35" s="15" t="s">
        <v>293</v>
      </c>
      <c r="D35" s="15"/>
      <c r="E35" s="61"/>
      <c r="F35" s="8">
        <v>0</v>
      </c>
      <c r="G35" s="14">
        <f t="shared" si="3"/>
        <v>0</v>
      </c>
      <c r="H35" s="14">
        <f t="shared" si="4"/>
        <v>0</v>
      </c>
    </row>
    <row r="36" spans="1:8" x14ac:dyDescent="0.2">
      <c r="B36" s="15" t="s">
        <v>366</v>
      </c>
      <c r="C36" s="15" t="s">
        <v>293</v>
      </c>
      <c r="D36" s="15"/>
      <c r="E36" s="61"/>
      <c r="F36" s="8">
        <v>0</v>
      </c>
      <c r="G36" s="14">
        <f t="shared" si="3"/>
        <v>0</v>
      </c>
      <c r="H36" s="14">
        <f t="shared" si="4"/>
        <v>0</v>
      </c>
    </row>
    <row r="37" spans="1:8" x14ac:dyDescent="0.2">
      <c r="B37" s="15" t="s">
        <v>367</v>
      </c>
      <c r="C37" s="15" t="s">
        <v>293</v>
      </c>
      <c r="D37" s="15"/>
      <c r="E37" s="61"/>
      <c r="F37" s="8">
        <v>0</v>
      </c>
      <c r="G37" s="14">
        <f t="shared" si="3"/>
        <v>0</v>
      </c>
      <c r="H37" s="14">
        <f t="shared" si="4"/>
        <v>0</v>
      </c>
    </row>
    <row r="38" spans="1:8" x14ac:dyDescent="0.2">
      <c r="B38" s="15" t="s">
        <v>368</v>
      </c>
      <c r="C38" s="15" t="s">
        <v>293</v>
      </c>
      <c r="D38" s="15"/>
      <c r="E38" s="61"/>
      <c r="F38" s="8">
        <v>0</v>
      </c>
      <c r="G38" s="14">
        <f t="shared" si="3"/>
        <v>0</v>
      </c>
      <c r="H38" s="14">
        <f t="shared" si="4"/>
        <v>0</v>
      </c>
    </row>
    <row r="39" spans="1:8" ht="16" thickBot="1" x14ac:dyDescent="0.25">
      <c r="B39" s="93" t="s">
        <v>369</v>
      </c>
      <c r="C39" s="93" t="s">
        <v>293</v>
      </c>
      <c r="D39" s="93"/>
      <c r="E39" s="94"/>
      <c r="F39" s="95">
        <v>0</v>
      </c>
      <c r="G39" s="38">
        <f t="shared" si="1"/>
        <v>0</v>
      </c>
      <c r="H39" s="38">
        <f t="shared" si="2"/>
        <v>0</v>
      </c>
    </row>
    <row r="40" spans="1:8" ht="18" thickTop="1" thickBot="1" x14ac:dyDescent="0.25">
      <c r="B40" s="272" t="s">
        <v>300</v>
      </c>
      <c r="C40" s="272"/>
      <c r="D40" s="273">
        <f>+SUM(D19:D39)</f>
        <v>4</v>
      </c>
      <c r="E40" s="272"/>
      <c r="F40" s="272"/>
      <c r="G40" s="272"/>
      <c r="H40" s="274">
        <f>+SUM(H19:H39)</f>
        <v>942999.99999999988</v>
      </c>
    </row>
    <row r="41" spans="1:8" ht="17" thickBot="1" x14ac:dyDescent="0.25">
      <c r="B41" s="275" t="s">
        <v>301</v>
      </c>
      <c r="C41" s="276"/>
      <c r="D41" s="277">
        <f>+D40+D17</f>
        <v>26</v>
      </c>
      <c r="E41" s="276"/>
      <c r="F41" s="276"/>
      <c r="G41" s="276"/>
      <c r="H41" s="278">
        <f>+H40+H17</f>
        <v>4529500</v>
      </c>
    </row>
    <row r="43" spans="1:8" ht="19" x14ac:dyDescent="0.25">
      <c r="A43" s="75" t="s">
        <v>145</v>
      </c>
    </row>
    <row r="44" spans="1:8" ht="48" x14ac:dyDescent="0.2">
      <c r="B44" s="314" t="s">
        <v>382</v>
      </c>
      <c r="C44" s="314"/>
      <c r="D44" s="314"/>
      <c r="E44" s="314"/>
    </row>
    <row r="45" spans="1:8" x14ac:dyDescent="0.2">
      <c r="B45" s="344" t="s">
        <v>125</v>
      </c>
      <c r="C45" s="345"/>
      <c r="D45" s="345"/>
      <c r="E45" s="346"/>
    </row>
    <row r="47" spans="1:8" x14ac:dyDescent="0.2">
      <c r="B47" s="92" t="s">
        <v>259</v>
      </c>
      <c r="C47" s="92"/>
      <c r="D47" s="92"/>
      <c r="E47" s="92"/>
    </row>
    <row r="48" spans="1:8" x14ac:dyDescent="0.2">
      <c r="B48" s="344" t="s">
        <v>125</v>
      </c>
      <c r="C48" s="345"/>
      <c r="D48" s="345"/>
      <c r="E48" s="346"/>
    </row>
    <row r="50" spans="2:5" x14ac:dyDescent="0.2">
      <c r="B50" s="92" t="s">
        <v>191</v>
      </c>
      <c r="C50" s="92"/>
      <c r="D50" s="92"/>
      <c r="E50" s="92"/>
    </row>
    <row r="51" spans="2:5" x14ac:dyDescent="0.2">
      <c r="B51" s="344" t="s">
        <v>125</v>
      </c>
      <c r="C51" s="345"/>
      <c r="D51" s="345"/>
      <c r="E51" s="346"/>
    </row>
    <row r="53" spans="2:5" x14ac:dyDescent="0.2">
      <c r="B53" s="92" t="s">
        <v>258</v>
      </c>
      <c r="C53" s="92"/>
      <c r="D53" s="92"/>
      <c r="E53" s="92"/>
    </row>
    <row r="54" spans="2:5" x14ac:dyDescent="0.2">
      <c r="B54" s="344" t="s">
        <v>125</v>
      </c>
      <c r="C54" s="345"/>
      <c r="D54" s="345"/>
      <c r="E54" s="346"/>
    </row>
  </sheetData>
  <mergeCells count="4">
    <mergeCell ref="B45:E45"/>
    <mergeCell ref="B48:E48"/>
    <mergeCell ref="B51:E51"/>
    <mergeCell ref="B54:E5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228E-FC81-4A61-AD16-5F2DBF21A196}">
  <sheetPr>
    <tabColor rgb="FFF8CBAD"/>
  </sheetPr>
  <dimension ref="A1:O68"/>
  <sheetViews>
    <sheetView showGridLines="0" topLeftCell="A8" zoomScaleNormal="100" workbookViewId="0">
      <selection activeCell="G20" sqref="G20"/>
    </sheetView>
  </sheetViews>
  <sheetFormatPr baseColWidth="10" defaultColWidth="8.83203125" defaultRowHeight="15" x14ac:dyDescent="0.2"/>
  <cols>
    <col min="1" max="1" width="1.6640625" customWidth="1"/>
    <col min="2" max="2" width="38.1640625" customWidth="1"/>
    <col min="3" max="14" width="17" bestFit="1" customWidth="1"/>
    <col min="15" max="15" width="13.6640625" bestFit="1" customWidth="1"/>
    <col min="16" max="20" width="15.6640625" customWidth="1"/>
    <col min="21" max="21" width="13.6640625" bestFit="1" customWidth="1"/>
    <col min="22" max="22" width="1.6640625" customWidth="1"/>
    <col min="23" max="23" width="32" bestFit="1" customWidth="1"/>
    <col min="24" max="24" width="15.6640625" customWidth="1"/>
    <col min="25" max="25" width="14.1640625" customWidth="1"/>
    <col min="26" max="26" width="14" customWidth="1"/>
    <col min="27" max="27" width="15.6640625" customWidth="1"/>
    <col min="28" max="28" width="14.1640625" customWidth="1"/>
    <col min="29" max="29" width="14" customWidth="1"/>
    <col min="30" max="30" width="15.6640625" customWidth="1"/>
    <col min="31" max="31" width="14.1640625" customWidth="1"/>
    <col min="32" max="32" width="14" customWidth="1"/>
    <col min="33" max="33" width="15.6640625" customWidth="1"/>
    <col min="34" max="34" width="14.1640625" customWidth="1"/>
    <col min="35" max="35" width="14" customWidth="1"/>
    <col min="36" max="36" width="15.6640625" customWidth="1"/>
    <col min="37" max="37" width="14.1640625" customWidth="1"/>
    <col min="38" max="38" width="14" customWidth="1"/>
    <col min="39" max="39" width="15.6640625" customWidth="1"/>
    <col min="40" max="40" width="14.1640625" customWidth="1"/>
    <col min="41" max="41" width="14" customWidth="1"/>
  </cols>
  <sheetData>
    <row r="1" spans="1:15" ht="31" x14ac:dyDescent="0.35">
      <c r="A1" s="7" t="s">
        <v>33</v>
      </c>
      <c r="E1" s="120" t="s">
        <v>81</v>
      </c>
      <c r="O1" s="1"/>
    </row>
    <row r="2" spans="1:15" ht="26" x14ac:dyDescent="0.3">
      <c r="A2" s="51" t="s">
        <v>34</v>
      </c>
      <c r="E2" s="53" t="s">
        <v>79</v>
      </c>
      <c r="O2" s="1"/>
    </row>
    <row r="3" spans="1:15" ht="21" x14ac:dyDescent="0.25">
      <c r="A3" s="52" t="str" cm="1">
        <f t="array" aca="1" ref="A3" ca="1">RIGHT(CELL("filename",D2),LEN(CELL("filename",D2))-FIND("]",CELL("filename",D2)))</f>
        <v>2. Users, Visits, Revenue</v>
      </c>
      <c r="E3" s="54" t="s">
        <v>189</v>
      </c>
      <c r="O3" s="1"/>
    </row>
    <row r="4" spans="1:15" ht="19" x14ac:dyDescent="0.25">
      <c r="A4" s="75" t="str">
        <f>+'0. Instructions'!A4</f>
        <v>Clinic Site XYZ</v>
      </c>
      <c r="E4" s="55" t="s">
        <v>80</v>
      </c>
      <c r="L4" s="2"/>
    </row>
    <row r="5" spans="1:15" ht="19" x14ac:dyDescent="0.25">
      <c r="A5" s="75"/>
    </row>
    <row r="6" spans="1:15" ht="19" x14ac:dyDescent="0.25">
      <c r="A6" s="75" t="s">
        <v>342</v>
      </c>
      <c r="K6" s="90"/>
      <c r="L6" s="90"/>
    </row>
    <row r="7" spans="1:15" ht="19" x14ac:dyDescent="0.25">
      <c r="A7" s="75" t="s">
        <v>341</v>
      </c>
      <c r="K7" s="90"/>
      <c r="L7" s="90"/>
    </row>
    <row r="8" spans="1:15" ht="19" x14ac:dyDescent="0.25">
      <c r="A8" s="230" t="s">
        <v>237</v>
      </c>
      <c r="B8" s="231"/>
      <c r="K8" s="90"/>
      <c r="L8" s="90"/>
    </row>
    <row r="9" spans="1:15" ht="19" x14ac:dyDescent="0.25">
      <c r="A9" s="75" t="s">
        <v>192</v>
      </c>
    </row>
    <row r="10" spans="1:15" ht="16" x14ac:dyDescent="0.2">
      <c r="B10" s="135" t="s">
        <v>134</v>
      </c>
      <c r="C10" s="113" t="s">
        <v>186</v>
      </c>
      <c r="D10" s="113"/>
      <c r="E10" s="113"/>
      <c r="F10" s="113" t="s">
        <v>183</v>
      </c>
      <c r="G10" s="113"/>
      <c r="H10" s="113"/>
      <c r="I10" s="113" t="s">
        <v>182</v>
      </c>
      <c r="J10" s="113"/>
      <c r="K10" s="113"/>
      <c r="L10" s="113"/>
      <c r="M10" s="113"/>
      <c r="N10" s="113"/>
      <c r="O10" s="113"/>
    </row>
    <row r="11" spans="1:15" ht="48" x14ac:dyDescent="0.2">
      <c r="B11" s="100" t="s">
        <v>38</v>
      </c>
      <c r="C11" s="100" t="s">
        <v>120</v>
      </c>
      <c r="D11" s="100" t="s">
        <v>181</v>
      </c>
      <c r="E11" s="100" t="s">
        <v>180</v>
      </c>
      <c r="F11" s="100" t="s">
        <v>120</v>
      </c>
      <c r="G11" s="100" t="s">
        <v>181</v>
      </c>
      <c r="H11" s="100" t="s">
        <v>180</v>
      </c>
      <c r="I11" s="100" t="s">
        <v>120</v>
      </c>
      <c r="J11" s="100" t="s">
        <v>181</v>
      </c>
      <c r="K11" s="100" t="s">
        <v>180</v>
      </c>
      <c r="L11" s="100" t="s">
        <v>193</v>
      </c>
      <c r="M11" s="100" t="s">
        <v>9</v>
      </c>
      <c r="N11" s="100" t="s">
        <v>179</v>
      </c>
      <c r="O11" s="100" t="s">
        <v>119</v>
      </c>
    </row>
    <row r="12" spans="1:15" x14ac:dyDescent="0.2">
      <c r="B12" s="6" t="s">
        <v>131</v>
      </c>
      <c r="C12" s="87">
        <v>3815532</v>
      </c>
      <c r="D12" s="86">
        <v>19077.66</v>
      </c>
      <c r="E12" s="86">
        <v>19467</v>
      </c>
      <c r="F12" s="87">
        <v>1780000</v>
      </c>
      <c r="G12" s="86">
        <v>8900</v>
      </c>
      <c r="H12" s="86">
        <v>9000</v>
      </c>
      <c r="I12" s="200">
        <f t="shared" ref="I12:K19" si="0">+C12+F12</f>
        <v>5595532</v>
      </c>
      <c r="J12" s="126">
        <f t="shared" si="0"/>
        <v>27977.66</v>
      </c>
      <c r="K12" s="126">
        <f t="shared" si="0"/>
        <v>28467</v>
      </c>
      <c r="L12" s="86">
        <v>9600</v>
      </c>
      <c r="M12" s="89">
        <f>+IF(K12=0,0,J12/K12)</f>
        <v>0.98281027154248779</v>
      </c>
      <c r="N12" s="13">
        <f>+IF(K12=0,0,I12/K12)</f>
        <v>196.56205430849755</v>
      </c>
      <c r="O12" s="89">
        <f t="shared" ref="O12:O19" si="1">+IF($K$20=0,0,K12/$K$20)</f>
        <v>0.76937837837837841</v>
      </c>
    </row>
    <row r="13" spans="1:15" x14ac:dyDescent="0.2">
      <c r="B13" s="6" t="s">
        <v>132</v>
      </c>
      <c r="C13" s="87">
        <v>265834.8</v>
      </c>
      <c r="D13" s="86">
        <v>1208.3399999999999</v>
      </c>
      <c r="E13" s="86">
        <v>1233</v>
      </c>
      <c r="F13" s="87">
        <v>0</v>
      </c>
      <c r="G13" s="86">
        <v>0</v>
      </c>
      <c r="H13" s="86">
        <v>0</v>
      </c>
      <c r="I13" s="200">
        <f t="shared" si="0"/>
        <v>265834.8</v>
      </c>
      <c r="J13" s="126">
        <f t="shared" si="0"/>
        <v>1208.3399999999999</v>
      </c>
      <c r="K13" s="126">
        <f t="shared" si="0"/>
        <v>1233</v>
      </c>
      <c r="L13" s="86">
        <v>900</v>
      </c>
      <c r="M13" s="89">
        <f t="shared" ref="M13:M20" si="2">+IF(K13=0,0,J13/K13)</f>
        <v>0.98</v>
      </c>
      <c r="N13" s="13">
        <f t="shared" ref="N13:N20" si="3">+IF(K13=0,0,I13/K13)</f>
        <v>215.6</v>
      </c>
      <c r="O13" s="89">
        <f t="shared" si="1"/>
        <v>3.3324324324324327E-2</v>
      </c>
    </row>
    <row r="14" spans="1:15" x14ac:dyDescent="0.2">
      <c r="B14" s="6" t="s">
        <v>133</v>
      </c>
      <c r="C14" s="88">
        <v>286120.8</v>
      </c>
      <c r="D14" s="16">
        <v>1589.56</v>
      </c>
      <c r="E14" s="16">
        <v>1622</v>
      </c>
      <c r="F14" s="88">
        <v>0</v>
      </c>
      <c r="G14" s="16">
        <v>0</v>
      </c>
      <c r="H14" s="16">
        <v>0</v>
      </c>
      <c r="I14" s="112">
        <f t="shared" si="0"/>
        <v>286120.8</v>
      </c>
      <c r="J14" s="12">
        <f t="shared" si="0"/>
        <v>1589.56</v>
      </c>
      <c r="K14" s="12">
        <f t="shared" si="0"/>
        <v>1622</v>
      </c>
      <c r="L14" s="16">
        <v>1200</v>
      </c>
      <c r="M14" s="89">
        <f t="shared" si="2"/>
        <v>0.98</v>
      </c>
      <c r="N14" s="13">
        <f t="shared" si="3"/>
        <v>176.4</v>
      </c>
      <c r="O14" s="89">
        <f t="shared" si="1"/>
        <v>4.3837837837837838E-2</v>
      </c>
    </row>
    <row r="15" spans="1:15" x14ac:dyDescent="0.2">
      <c r="B15" s="6" t="s">
        <v>6</v>
      </c>
      <c r="C15" s="88">
        <v>71530.2</v>
      </c>
      <c r="D15" s="16">
        <v>1589.56</v>
      </c>
      <c r="E15" s="16">
        <v>1622</v>
      </c>
      <c r="F15" s="88">
        <v>0</v>
      </c>
      <c r="G15" s="16">
        <v>0</v>
      </c>
      <c r="H15" s="16">
        <v>0</v>
      </c>
      <c r="I15" s="112">
        <f t="shared" si="0"/>
        <v>71530.2</v>
      </c>
      <c r="J15" s="12">
        <f t="shared" si="0"/>
        <v>1589.56</v>
      </c>
      <c r="K15" s="12">
        <f t="shared" si="0"/>
        <v>1622</v>
      </c>
      <c r="L15" s="16">
        <v>1200</v>
      </c>
      <c r="M15" s="89">
        <f t="shared" si="2"/>
        <v>0.98</v>
      </c>
      <c r="N15" s="13">
        <f t="shared" si="3"/>
        <v>44.1</v>
      </c>
      <c r="O15" s="89">
        <f t="shared" si="1"/>
        <v>4.3837837837837838E-2</v>
      </c>
    </row>
    <row r="16" spans="1:15" x14ac:dyDescent="0.2">
      <c r="B16" s="6" t="s">
        <v>20</v>
      </c>
      <c r="C16" s="88">
        <v>27851.599999999999</v>
      </c>
      <c r="D16" s="16">
        <v>198.94</v>
      </c>
      <c r="E16" s="16">
        <v>203</v>
      </c>
      <c r="F16" s="88">
        <v>0</v>
      </c>
      <c r="G16" s="16">
        <v>0</v>
      </c>
      <c r="H16" s="16">
        <v>0</v>
      </c>
      <c r="I16" s="112">
        <f t="shared" si="0"/>
        <v>27851.599999999999</v>
      </c>
      <c r="J16" s="12">
        <f t="shared" si="0"/>
        <v>198.94</v>
      </c>
      <c r="K16" s="12">
        <f t="shared" si="0"/>
        <v>203</v>
      </c>
      <c r="L16" s="16">
        <v>150</v>
      </c>
      <c r="M16" s="89">
        <f t="shared" si="2"/>
        <v>0.98</v>
      </c>
      <c r="N16" s="13">
        <f t="shared" si="3"/>
        <v>137.19999999999999</v>
      </c>
      <c r="O16" s="89">
        <f t="shared" si="1"/>
        <v>5.4864864864864861E-3</v>
      </c>
    </row>
    <row r="17" spans="1:15" x14ac:dyDescent="0.2">
      <c r="B17" s="6" t="s">
        <v>7</v>
      </c>
      <c r="C17" s="88">
        <v>27851.599999999999</v>
      </c>
      <c r="D17" s="16">
        <v>198.94</v>
      </c>
      <c r="E17" s="16">
        <v>203</v>
      </c>
      <c r="F17" s="88">
        <v>0</v>
      </c>
      <c r="G17" s="16">
        <v>0</v>
      </c>
      <c r="H17" s="16">
        <v>0</v>
      </c>
      <c r="I17" s="112">
        <f t="shared" si="0"/>
        <v>27851.599999999999</v>
      </c>
      <c r="J17" s="12">
        <f t="shared" si="0"/>
        <v>198.94</v>
      </c>
      <c r="K17" s="12">
        <f t="shared" si="0"/>
        <v>203</v>
      </c>
      <c r="L17" s="16">
        <v>150</v>
      </c>
      <c r="M17" s="89">
        <f t="shared" si="2"/>
        <v>0.98</v>
      </c>
      <c r="N17" s="13">
        <f t="shared" si="3"/>
        <v>137.19999999999999</v>
      </c>
      <c r="O17" s="89">
        <f t="shared" si="1"/>
        <v>5.4864864864864861E-3</v>
      </c>
    </row>
    <row r="18" spans="1:15" x14ac:dyDescent="0.2">
      <c r="B18" s="6" t="s">
        <v>8</v>
      </c>
      <c r="C18" s="88">
        <v>107310</v>
      </c>
      <c r="D18" s="16">
        <v>3577</v>
      </c>
      <c r="E18" s="16">
        <v>3650</v>
      </c>
      <c r="F18" s="88">
        <v>0</v>
      </c>
      <c r="G18" s="16">
        <v>0</v>
      </c>
      <c r="H18" s="16">
        <v>0</v>
      </c>
      <c r="I18" s="112">
        <f t="shared" ref="I18" si="4">+C18+F18</f>
        <v>107310</v>
      </c>
      <c r="J18" s="12">
        <f t="shared" ref="J18" si="5">+D18+G18</f>
        <v>3577</v>
      </c>
      <c r="K18" s="12">
        <f t="shared" ref="K18" si="6">+E18+H18</f>
        <v>3650</v>
      </c>
      <c r="L18" s="16">
        <v>2700.0000000000009</v>
      </c>
      <c r="M18" s="89">
        <f t="shared" ref="M18" si="7">+IF(K18=0,0,J18/K18)</f>
        <v>0.98</v>
      </c>
      <c r="N18" s="13">
        <f t="shared" ref="N18" si="8">+IF(K18=0,0,I18/K18)</f>
        <v>29.4</v>
      </c>
      <c r="O18" s="89">
        <f t="shared" si="1"/>
        <v>9.8648648648648654E-2</v>
      </c>
    </row>
    <row r="19" spans="1:15" x14ac:dyDescent="0.2">
      <c r="B19" s="263" t="s">
        <v>265</v>
      </c>
      <c r="C19" s="88"/>
      <c r="D19" s="16"/>
      <c r="E19" s="16"/>
      <c r="F19" s="88"/>
      <c r="G19" s="16"/>
      <c r="H19" s="16"/>
      <c r="I19" s="112">
        <f t="shared" si="0"/>
        <v>0</v>
      </c>
      <c r="J19" s="12">
        <f t="shared" si="0"/>
        <v>0</v>
      </c>
      <c r="K19" s="12">
        <f t="shared" si="0"/>
        <v>0</v>
      </c>
      <c r="L19" s="16"/>
      <c r="M19" s="89">
        <f t="shared" si="2"/>
        <v>0</v>
      </c>
      <c r="N19" s="13">
        <f t="shared" si="3"/>
        <v>0</v>
      </c>
      <c r="O19" s="89">
        <f t="shared" si="1"/>
        <v>0</v>
      </c>
    </row>
    <row r="20" spans="1:15" ht="16" x14ac:dyDescent="0.2">
      <c r="B20" s="100" t="s">
        <v>3</v>
      </c>
      <c r="C20" s="62">
        <f t="shared" ref="C20" si="9">SUM(C12:C19)</f>
        <v>4602030.9999999991</v>
      </c>
      <c r="D20" s="17">
        <f t="shared" ref="D20" si="10">SUM(D12:D19)</f>
        <v>27440</v>
      </c>
      <c r="E20" s="17">
        <f t="shared" ref="E20" si="11">SUM(E12:E19)</f>
        <v>28000</v>
      </c>
      <c r="F20" s="62">
        <f t="shared" ref="F20" si="12">SUM(F12:F19)</f>
        <v>1780000</v>
      </c>
      <c r="G20" s="17">
        <f t="shared" ref="G20" si="13">SUM(G12:G19)</f>
        <v>8900</v>
      </c>
      <c r="H20" s="17">
        <f t="shared" ref="H20" si="14">SUM(H12:H19)</f>
        <v>9000</v>
      </c>
      <c r="I20" s="62">
        <f t="shared" ref="I20:K20" si="15">SUM(I12:I19)</f>
        <v>6382030.9999999991</v>
      </c>
      <c r="J20" s="17">
        <f t="shared" si="15"/>
        <v>36340</v>
      </c>
      <c r="K20" s="17">
        <f t="shared" si="15"/>
        <v>37000</v>
      </c>
      <c r="L20" s="17">
        <f>SUM(L12:L19)</f>
        <v>15900</v>
      </c>
      <c r="M20" s="183">
        <f t="shared" si="2"/>
        <v>0.98216216216216212</v>
      </c>
      <c r="N20" s="184">
        <f t="shared" si="3"/>
        <v>172.48732432432431</v>
      </c>
      <c r="O20" s="9">
        <f>SUM(O12:O19)</f>
        <v>1</v>
      </c>
    </row>
    <row r="21" spans="1:15" x14ac:dyDescent="0.2">
      <c r="B21" s="110"/>
      <c r="C21" s="78"/>
      <c r="D21" s="195"/>
      <c r="E21" s="195"/>
      <c r="F21" s="195"/>
      <c r="G21" s="195"/>
      <c r="H21" s="195"/>
      <c r="I21" s="195"/>
      <c r="L21" s="196"/>
      <c r="M21" s="197"/>
      <c r="N21" s="187"/>
    </row>
    <row r="22" spans="1:15" ht="19" x14ac:dyDescent="0.25">
      <c r="A22" s="75" t="s">
        <v>355</v>
      </c>
      <c r="B22" s="110"/>
      <c r="C22" s="78"/>
      <c r="D22" s="195"/>
      <c r="E22" s="195"/>
      <c r="F22" s="195"/>
      <c r="G22" s="195"/>
      <c r="H22" s="195"/>
      <c r="I22" s="195"/>
      <c r="L22" s="196"/>
      <c r="M22" s="197"/>
      <c r="N22" s="187"/>
    </row>
    <row r="23" spans="1:15" ht="19" x14ac:dyDescent="0.25">
      <c r="A23" s="75" t="s">
        <v>353</v>
      </c>
      <c r="B23" s="110"/>
      <c r="C23" s="78"/>
      <c r="D23" s="195"/>
      <c r="E23" s="195"/>
      <c r="F23" s="195"/>
      <c r="G23" s="195"/>
      <c r="H23" s="195"/>
      <c r="I23" s="195"/>
      <c r="L23" s="196"/>
      <c r="M23" s="197"/>
      <c r="N23" s="187"/>
    </row>
    <row r="24" spans="1:15" ht="19" x14ac:dyDescent="0.25">
      <c r="A24" s="75" t="s">
        <v>354</v>
      </c>
      <c r="B24" s="110"/>
      <c r="C24" s="78"/>
      <c r="D24" s="195"/>
      <c r="E24" s="195"/>
      <c r="F24" s="195"/>
      <c r="G24" s="195"/>
      <c r="H24" s="195"/>
      <c r="I24" s="195"/>
      <c r="L24" s="196"/>
      <c r="M24" s="197"/>
      <c r="N24" s="187"/>
    </row>
    <row r="25" spans="1:15" ht="64" x14ac:dyDescent="0.2">
      <c r="B25" s="100" t="s">
        <v>348</v>
      </c>
      <c r="C25" s="100" t="s">
        <v>349</v>
      </c>
      <c r="D25" s="100" t="s">
        <v>350</v>
      </c>
      <c r="E25" s="100" t="s">
        <v>351</v>
      </c>
      <c r="F25" s="100" t="s">
        <v>352</v>
      </c>
      <c r="G25" s="195"/>
      <c r="H25" s="195"/>
      <c r="I25" s="195"/>
      <c r="J25" s="195"/>
      <c r="L25" s="196"/>
      <c r="M25" s="197"/>
      <c r="N25" s="187"/>
    </row>
    <row r="26" spans="1:15" x14ac:dyDescent="0.2">
      <c r="B26" s="25" t="s">
        <v>131</v>
      </c>
      <c r="C26" s="198">
        <v>17455</v>
      </c>
      <c r="D26" s="199">
        <v>9500</v>
      </c>
      <c r="E26" s="199">
        <v>100</v>
      </c>
      <c r="F26" s="22">
        <f>+C26-D26</f>
        <v>7955</v>
      </c>
      <c r="G26" s="195"/>
      <c r="H26" s="195"/>
      <c r="I26" s="195"/>
      <c r="J26" s="195"/>
      <c r="L26" s="196"/>
      <c r="M26" s="197"/>
      <c r="N26" s="187"/>
    </row>
    <row r="27" spans="1:15" x14ac:dyDescent="0.2">
      <c r="H27" s="195"/>
      <c r="I27" s="195"/>
      <c r="J27" s="195"/>
    </row>
    <row r="28" spans="1:15" ht="16" x14ac:dyDescent="0.2">
      <c r="B28" s="113" t="s">
        <v>165</v>
      </c>
      <c r="C28" s="113"/>
      <c r="H28" s="195"/>
      <c r="I28" s="195"/>
      <c r="J28" s="195"/>
    </row>
    <row r="29" spans="1:15" x14ac:dyDescent="0.2">
      <c r="B29" s="24" t="s">
        <v>135</v>
      </c>
      <c r="C29" s="106">
        <f>+'1. Staffing and Salary Cost'!D13</f>
        <v>10</v>
      </c>
      <c r="H29" s="195"/>
      <c r="I29" s="195"/>
      <c r="J29" s="195"/>
    </row>
    <row r="30" spans="1:15" x14ac:dyDescent="0.2">
      <c r="B30" s="6" t="s">
        <v>275</v>
      </c>
      <c r="C30" s="12">
        <f>+K12</f>
        <v>28467</v>
      </c>
      <c r="H30" s="195"/>
      <c r="I30" s="195"/>
      <c r="J30" s="195"/>
    </row>
    <row r="31" spans="1:15" ht="32" x14ac:dyDescent="0.2">
      <c r="B31" s="73" t="s">
        <v>276</v>
      </c>
      <c r="C31" s="12">
        <f>+IF(C29=0,0,C30/C29)</f>
        <v>2846.7</v>
      </c>
      <c r="H31" s="195"/>
      <c r="I31" s="195"/>
      <c r="J31" s="195"/>
    </row>
    <row r="32" spans="1:15" ht="32" x14ac:dyDescent="0.2">
      <c r="B32" s="73" t="s">
        <v>277</v>
      </c>
      <c r="C32" s="12">
        <f>+IF(C29=0,0,D26/C29)</f>
        <v>950</v>
      </c>
      <c r="H32" s="195"/>
      <c r="I32" s="195"/>
      <c r="J32" s="195"/>
    </row>
    <row r="33" spans="1:10" ht="32" x14ac:dyDescent="0.2">
      <c r="B33" s="73" t="s">
        <v>278</v>
      </c>
      <c r="C33" s="12">
        <f>+IF(C29=0,0,C26/C29)</f>
        <v>1745.5</v>
      </c>
      <c r="H33" s="195"/>
      <c r="I33" s="195"/>
      <c r="J33" s="195"/>
    </row>
    <row r="34" spans="1:10" ht="32" x14ac:dyDescent="0.2">
      <c r="B34" s="73" t="s">
        <v>279</v>
      </c>
      <c r="C34" s="22">
        <f>+L20/C29</f>
        <v>1590</v>
      </c>
      <c r="H34" s="195"/>
      <c r="I34" s="195"/>
      <c r="J34" s="195"/>
    </row>
    <row r="35" spans="1:10" x14ac:dyDescent="0.2">
      <c r="H35" s="195"/>
      <c r="I35" s="195"/>
      <c r="J35" s="195"/>
    </row>
    <row r="36" spans="1:10" ht="19" x14ac:dyDescent="0.25">
      <c r="A36" s="75" t="s">
        <v>266</v>
      </c>
    </row>
    <row r="37" spans="1:10" ht="48" x14ac:dyDescent="0.2">
      <c r="B37" s="324" t="s">
        <v>302</v>
      </c>
      <c r="C37" s="20">
        <v>60000</v>
      </c>
    </row>
    <row r="38" spans="1:10" ht="16" x14ac:dyDescent="0.2">
      <c r="B38" s="325" t="s">
        <v>208</v>
      </c>
      <c r="C38" s="91">
        <f>+IF(C37=0,0,K20/C37)</f>
        <v>0.6166666666666667</v>
      </c>
    </row>
    <row r="40" spans="1:10" ht="19" x14ac:dyDescent="0.25">
      <c r="A40" s="75" t="s">
        <v>168</v>
      </c>
    </row>
    <row r="41" spans="1:10" x14ac:dyDescent="0.2">
      <c r="B41" s="34" t="s">
        <v>428</v>
      </c>
      <c r="C41" s="34"/>
      <c r="D41" s="34"/>
      <c r="E41" s="34"/>
      <c r="F41" s="185">
        <f>+IF(C26=0,0,I12/C26/12)</f>
        <v>26.714083834622361</v>
      </c>
    </row>
    <row r="43" spans="1:10" ht="19" x14ac:dyDescent="0.25">
      <c r="A43" s="75" t="s">
        <v>409</v>
      </c>
    </row>
    <row r="44" spans="1:10" ht="16" x14ac:dyDescent="0.2">
      <c r="C44" s="100" t="s">
        <v>375</v>
      </c>
      <c r="D44" s="100">
        <v>2024</v>
      </c>
      <c r="E44" s="100">
        <v>2025</v>
      </c>
      <c r="F44" s="100">
        <v>2026</v>
      </c>
    </row>
    <row r="45" spans="1:10" x14ac:dyDescent="0.2">
      <c r="B45" s="130" t="s">
        <v>385</v>
      </c>
      <c r="C45" s="99">
        <v>0.03</v>
      </c>
      <c r="D45" s="99">
        <v>0.03</v>
      </c>
      <c r="E45" s="99">
        <v>0.03</v>
      </c>
      <c r="F45" s="99">
        <v>0.03</v>
      </c>
    </row>
    <row r="46" spans="1:10" x14ac:dyDescent="0.2">
      <c r="B46" s="186"/>
      <c r="C46" s="97" t="s">
        <v>410</v>
      </c>
      <c r="D46" s="187"/>
      <c r="E46" s="187"/>
      <c r="F46" s="187"/>
    </row>
    <row r="47" spans="1:10" x14ac:dyDescent="0.2">
      <c r="B47" s="186"/>
      <c r="C47" s="187"/>
      <c r="D47" s="187"/>
      <c r="E47" s="187"/>
      <c r="F47" s="187"/>
    </row>
    <row r="48" spans="1:10" ht="19" x14ac:dyDescent="0.25">
      <c r="A48" s="75" t="s">
        <v>388</v>
      </c>
      <c r="B48" s="97"/>
      <c r="D48" s="70"/>
      <c r="H48" s="70"/>
      <c r="I48" s="70"/>
      <c r="J48" s="70"/>
    </row>
    <row r="49" spans="1:10" ht="16" x14ac:dyDescent="0.2">
      <c r="C49" s="100" t="s">
        <v>375</v>
      </c>
      <c r="D49" s="100">
        <v>2024</v>
      </c>
      <c r="E49" s="100">
        <v>2025</v>
      </c>
      <c r="F49" s="100">
        <v>2026</v>
      </c>
    </row>
    <row r="50" spans="1:10" x14ac:dyDescent="0.2">
      <c r="B50" s="130" t="s">
        <v>386</v>
      </c>
      <c r="C50" s="99">
        <v>7.0000000000000007E-2</v>
      </c>
      <c r="D50" s="99">
        <v>7.0000000000000007E-2</v>
      </c>
      <c r="E50" s="99">
        <v>7.0000000000000007E-2</v>
      </c>
      <c r="F50" s="99">
        <v>7.0000000000000007E-2</v>
      </c>
    </row>
    <row r="51" spans="1:10" x14ac:dyDescent="0.2">
      <c r="B51" s="186"/>
      <c r="C51" s="97" t="s">
        <v>410</v>
      </c>
      <c r="D51" s="187"/>
      <c r="E51" s="187"/>
      <c r="F51" s="187"/>
    </row>
    <row r="52" spans="1:10" x14ac:dyDescent="0.2">
      <c r="B52" s="186"/>
      <c r="C52" s="187"/>
      <c r="D52" s="187"/>
      <c r="E52" s="187"/>
      <c r="F52" s="187"/>
    </row>
    <row r="53" spans="1:10" ht="19" x14ac:dyDescent="0.25">
      <c r="A53" s="75" t="s">
        <v>389</v>
      </c>
      <c r="B53" s="97"/>
      <c r="D53" s="70"/>
      <c r="H53" s="70"/>
      <c r="I53" s="70"/>
      <c r="J53" s="70"/>
    </row>
    <row r="54" spans="1:10" ht="16" x14ac:dyDescent="0.2">
      <c r="C54" s="100" t="s">
        <v>375</v>
      </c>
      <c r="D54" s="100">
        <v>2024</v>
      </c>
      <c r="E54" s="100">
        <v>2025</v>
      </c>
      <c r="F54" s="100">
        <v>2026</v>
      </c>
    </row>
    <row r="55" spans="1:10" x14ac:dyDescent="0.2">
      <c r="B55" s="130" t="s">
        <v>387</v>
      </c>
      <c r="C55" s="99">
        <v>0.02</v>
      </c>
      <c r="D55" s="99">
        <v>0.02</v>
      </c>
      <c r="E55" s="99">
        <v>0.02</v>
      </c>
      <c r="F55" s="99">
        <v>0.02</v>
      </c>
    </row>
    <row r="56" spans="1:10" x14ac:dyDescent="0.2">
      <c r="B56" s="186"/>
      <c r="C56" s="97" t="s">
        <v>410</v>
      </c>
      <c r="D56" s="187"/>
      <c r="E56" s="187"/>
      <c r="F56" s="187"/>
    </row>
    <row r="57" spans="1:10" ht="19" x14ac:dyDescent="0.25">
      <c r="A57" s="75" t="s">
        <v>145</v>
      </c>
    </row>
    <row r="58" spans="1:10" x14ac:dyDescent="0.2">
      <c r="B58" s="92" t="s">
        <v>260</v>
      </c>
      <c r="C58" s="92"/>
      <c r="D58" s="92"/>
      <c r="E58" s="92"/>
      <c r="F58" s="92"/>
    </row>
    <row r="59" spans="1:10" x14ac:dyDescent="0.2">
      <c r="B59" s="344" t="s">
        <v>125</v>
      </c>
      <c r="C59" s="345"/>
      <c r="D59" s="345"/>
      <c r="E59" s="345"/>
      <c r="F59" s="346"/>
    </row>
    <row r="61" spans="1:10" x14ac:dyDescent="0.2">
      <c r="B61" s="92" t="s">
        <v>184</v>
      </c>
      <c r="C61" s="92"/>
      <c r="D61" s="92"/>
      <c r="E61" s="92"/>
      <c r="F61" s="92"/>
    </row>
    <row r="62" spans="1:10" x14ac:dyDescent="0.2">
      <c r="B62" s="344" t="s">
        <v>125</v>
      </c>
      <c r="C62" s="345"/>
      <c r="D62" s="345"/>
      <c r="E62" s="345"/>
      <c r="F62" s="346"/>
    </row>
    <row r="64" spans="1:10" x14ac:dyDescent="0.2">
      <c r="B64" s="92" t="s">
        <v>185</v>
      </c>
      <c r="C64" s="92"/>
      <c r="D64" s="92"/>
      <c r="E64" s="92"/>
      <c r="F64" s="92"/>
    </row>
    <row r="65" spans="2:6" x14ac:dyDescent="0.2">
      <c r="B65" s="344" t="s">
        <v>125</v>
      </c>
      <c r="C65" s="345"/>
      <c r="D65" s="345"/>
      <c r="E65" s="345"/>
      <c r="F65" s="346"/>
    </row>
    <row r="67" spans="2:6" x14ac:dyDescent="0.2">
      <c r="B67" s="92" t="s">
        <v>272</v>
      </c>
      <c r="C67" s="92"/>
      <c r="D67" s="92"/>
      <c r="E67" s="92"/>
      <c r="F67" s="92"/>
    </row>
    <row r="68" spans="2:6" x14ac:dyDescent="0.2">
      <c r="B68" s="344" t="s">
        <v>125</v>
      </c>
      <c r="C68" s="345"/>
      <c r="D68" s="345"/>
      <c r="E68" s="345"/>
      <c r="F68" s="346"/>
    </row>
  </sheetData>
  <mergeCells count="4">
    <mergeCell ref="B59:F59"/>
    <mergeCell ref="B62:F62"/>
    <mergeCell ref="B65:F65"/>
    <mergeCell ref="B68:F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D3FA-2FAF-430D-925C-005F8F3BE3C7}">
  <sheetPr>
    <tabColor rgb="FFF8CBAD"/>
  </sheetPr>
  <dimension ref="A1:O34"/>
  <sheetViews>
    <sheetView showGridLines="0" zoomScaleNormal="100" workbookViewId="0"/>
  </sheetViews>
  <sheetFormatPr baseColWidth="10" defaultColWidth="8.83203125" defaultRowHeight="15" x14ac:dyDescent="0.2"/>
  <cols>
    <col min="1" max="1" width="1.6640625" customWidth="1"/>
    <col min="2" max="2" width="81" customWidth="1"/>
    <col min="3" max="4" width="15.6640625" customWidth="1"/>
    <col min="5" max="8" width="17.5" customWidth="1"/>
    <col min="9" max="11" width="17.1640625" customWidth="1"/>
    <col min="12" max="12" width="1.6640625" customWidth="1"/>
    <col min="13" max="13" width="65.83203125" customWidth="1"/>
    <col min="14" max="18" width="15.6640625" customWidth="1"/>
    <col min="19" max="19" width="13.6640625" bestFit="1" customWidth="1"/>
    <col min="20" max="20" width="1.6640625" customWidth="1"/>
    <col min="21" max="21" width="32" bestFit="1" customWidth="1"/>
    <col min="22" max="22" width="15.6640625" customWidth="1"/>
    <col min="23" max="23" width="14.1640625" customWidth="1"/>
    <col min="24" max="24" width="14" customWidth="1"/>
    <col min="25" max="25" width="15.6640625" customWidth="1"/>
    <col min="26" max="26" width="14.1640625" customWidth="1"/>
    <col min="27" max="27" width="14" customWidth="1"/>
    <col min="28" max="28" width="15.6640625" customWidth="1"/>
    <col min="29" max="29" width="14.1640625" customWidth="1"/>
    <col min="30" max="30" width="14" customWidth="1"/>
    <col min="31" max="31" width="15.6640625" customWidth="1"/>
    <col min="32" max="32" width="14.1640625" customWidth="1"/>
    <col min="33" max="33" width="14" customWidth="1"/>
    <col min="34" max="34" width="15.6640625" customWidth="1"/>
    <col min="35" max="35" width="14.1640625" customWidth="1"/>
    <col min="36" max="36" width="14" customWidth="1"/>
    <col min="37" max="37" width="15.6640625" customWidth="1"/>
    <col min="38" max="38" width="14.1640625" customWidth="1"/>
    <col min="39" max="39" width="14" customWidth="1"/>
  </cols>
  <sheetData>
    <row r="1" spans="1:15" ht="31" x14ac:dyDescent="0.35">
      <c r="A1" s="7" t="s">
        <v>33</v>
      </c>
      <c r="C1" s="120" t="s">
        <v>81</v>
      </c>
      <c r="O1" s="1"/>
    </row>
    <row r="2" spans="1:15" ht="26" x14ac:dyDescent="0.3">
      <c r="A2" s="51" t="s">
        <v>34</v>
      </c>
      <c r="C2" s="53" t="s">
        <v>79</v>
      </c>
      <c r="O2" s="1"/>
    </row>
    <row r="3" spans="1:15" ht="21" x14ac:dyDescent="0.25">
      <c r="A3" s="52" t="str" cm="1">
        <f t="array" aca="1" ref="A3" ca="1">RIGHT(CELL("filename",D2),LEN(CELL("filename",D2))-FIND("]",CELL("filename",D2)))</f>
        <v>3. Administrative Costs</v>
      </c>
      <c r="C3" s="54" t="s">
        <v>189</v>
      </c>
      <c r="O3" s="1"/>
    </row>
    <row r="4" spans="1:15" ht="19" x14ac:dyDescent="0.25">
      <c r="A4" s="75" t="str">
        <f>+'0. Instructions'!A4</f>
        <v>Clinic Site XYZ</v>
      </c>
      <c r="C4" s="55" t="s">
        <v>80</v>
      </c>
    </row>
    <row r="6" spans="1:15" ht="19" x14ac:dyDescent="0.25">
      <c r="A6" s="75" t="s">
        <v>261</v>
      </c>
    </row>
    <row r="7" spans="1:15" ht="19" x14ac:dyDescent="0.25">
      <c r="A7" s="75" t="s">
        <v>343</v>
      </c>
    </row>
    <row r="8" spans="1:15" ht="16" x14ac:dyDescent="0.2">
      <c r="B8" s="135" t="s">
        <v>39</v>
      </c>
      <c r="C8" s="113"/>
    </row>
    <row r="9" spans="1:15" ht="16" x14ac:dyDescent="0.2">
      <c r="B9" s="113" t="s">
        <v>123</v>
      </c>
      <c r="C9" s="113"/>
    </row>
    <row r="10" spans="1:15" x14ac:dyDescent="0.2">
      <c r="B10" s="6" t="s">
        <v>87</v>
      </c>
      <c r="C10" s="63">
        <v>5713503</v>
      </c>
    </row>
    <row r="11" spans="1:15" x14ac:dyDescent="0.2">
      <c r="B11" s="6" t="s">
        <v>121</v>
      </c>
      <c r="C11" s="61">
        <v>791250</v>
      </c>
      <c r="D11" s="1"/>
    </row>
    <row r="12" spans="1:15" x14ac:dyDescent="0.2">
      <c r="B12" s="6" t="s">
        <v>32</v>
      </c>
      <c r="C12" s="26">
        <f>+IF('3. Administrative Costs'!C10=0,"",'3. Administrative Costs'!C11/'3. Administrative Costs'!C10)</f>
        <v>0.1384877193553587</v>
      </c>
    </row>
    <row r="13" spans="1:15" ht="16" x14ac:dyDescent="0.2">
      <c r="B13" s="113" t="s">
        <v>196</v>
      </c>
      <c r="C13" s="113"/>
    </row>
    <row r="14" spans="1:15" x14ac:dyDescent="0.2">
      <c r="B14" s="25" t="s">
        <v>195</v>
      </c>
      <c r="C14" s="66">
        <v>1500000</v>
      </c>
      <c r="D14" s="1"/>
    </row>
    <row r="15" spans="1:15" x14ac:dyDescent="0.2">
      <c r="B15" s="24" t="s">
        <v>194</v>
      </c>
      <c r="C15" s="63">
        <v>1500000</v>
      </c>
    </row>
    <row r="16" spans="1:15" ht="16" x14ac:dyDescent="0.2">
      <c r="B16" s="134" t="s">
        <v>198</v>
      </c>
      <c r="C16" s="65">
        <f>+C11+C15+C14</f>
        <v>3791250</v>
      </c>
    </row>
    <row r="17" spans="1:3" ht="19" x14ac:dyDescent="0.25">
      <c r="A17" s="75" t="s">
        <v>344</v>
      </c>
    </row>
    <row r="18" spans="1:3" ht="19" x14ac:dyDescent="0.25">
      <c r="A18" s="75" t="s">
        <v>345</v>
      </c>
    </row>
    <row r="20" spans="1:3" ht="16" x14ac:dyDescent="0.2">
      <c r="B20" s="135" t="s">
        <v>197</v>
      </c>
      <c r="C20" s="136"/>
    </row>
    <row r="21" spans="1:3" x14ac:dyDescent="0.2">
      <c r="B21" s="24" t="s">
        <v>121</v>
      </c>
      <c r="C21" s="28">
        <f>+IF('2. Users, Visits, Revenue'!$K$20=0,0,C11/'2. Users, Visits, Revenue'!$K$20)</f>
        <v>21.385135135135137</v>
      </c>
    </row>
    <row r="22" spans="1:3" x14ac:dyDescent="0.2">
      <c r="B22" s="137" t="s">
        <v>195</v>
      </c>
      <c r="C22" s="27">
        <f>+IF('2. Users, Visits, Revenue'!$K$20=0,0,C14/'2. Users, Visits, Revenue'!$K$20)</f>
        <v>40.54054054054054</v>
      </c>
    </row>
    <row r="23" spans="1:3" ht="16" thickBot="1" x14ac:dyDescent="0.25">
      <c r="B23" s="6" t="s">
        <v>194</v>
      </c>
      <c r="C23" s="13">
        <f>+IF('2. Users, Visits, Revenue'!$K$20=0,0,C15/'2. Users, Visits, Revenue'!$K$20)</f>
        <v>40.54054054054054</v>
      </c>
    </row>
    <row r="24" spans="1:3" ht="16" thickBot="1" x14ac:dyDescent="0.25">
      <c r="B24" s="68" t="s">
        <v>126</v>
      </c>
      <c r="C24" s="69">
        <f>SUM(C21:C23)</f>
        <v>102.46621621621622</v>
      </c>
    </row>
    <row r="25" spans="1:3" x14ac:dyDescent="0.2">
      <c r="B25" s="138"/>
      <c r="C25" s="139"/>
    </row>
    <row r="26" spans="1:3" ht="19" x14ac:dyDescent="0.25">
      <c r="A26" s="75" t="s">
        <v>145</v>
      </c>
    </row>
    <row r="27" spans="1:3" x14ac:dyDescent="0.2">
      <c r="B27" s="24" t="s">
        <v>124</v>
      </c>
    </row>
    <row r="28" spans="1:3" x14ac:dyDescent="0.2">
      <c r="B28" s="25" t="s">
        <v>122</v>
      </c>
    </row>
    <row r="29" spans="1:3" x14ac:dyDescent="0.2">
      <c r="B29" s="347" t="s">
        <v>125</v>
      </c>
    </row>
    <row r="30" spans="1:3" x14ac:dyDescent="0.2">
      <c r="B30" s="348"/>
    </row>
    <row r="32" spans="1:3" x14ac:dyDescent="0.2">
      <c r="B32" s="130" t="s">
        <v>144</v>
      </c>
    </row>
    <row r="33" spans="2:2" x14ac:dyDescent="0.2">
      <c r="B33" s="347" t="s">
        <v>125</v>
      </c>
    </row>
    <row r="34" spans="2:2" x14ac:dyDescent="0.2">
      <c r="B34" s="348"/>
    </row>
  </sheetData>
  <mergeCells count="2">
    <mergeCell ref="B29:B30"/>
    <mergeCell ref="B33:B3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55EC-7EB1-4DF6-A21C-375E24BAB71E}">
  <sheetPr>
    <tabColor rgb="FFF8CBAD"/>
  </sheetPr>
  <dimension ref="A1:T57"/>
  <sheetViews>
    <sheetView showGridLines="0" zoomScale="70" zoomScaleNormal="70" workbookViewId="0"/>
  </sheetViews>
  <sheetFormatPr baseColWidth="10" defaultColWidth="8.83203125" defaultRowHeight="15" x14ac:dyDescent="0.2"/>
  <cols>
    <col min="1" max="1" width="1.6640625" customWidth="1"/>
    <col min="2" max="2" width="29.5" customWidth="1"/>
    <col min="3" max="20" width="17.1640625" bestFit="1" customWidth="1"/>
  </cols>
  <sheetData>
    <row r="1" spans="1:20" ht="31" x14ac:dyDescent="0.35">
      <c r="A1" s="7" t="s">
        <v>33</v>
      </c>
      <c r="G1" s="120" t="s">
        <v>81</v>
      </c>
      <c r="O1" s="1"/>
    </row>
    <row r="2" spans="1:20" ht="26" x14ac:dyDescent="0.3">
      <c r="A2" s="51" t="s">
        <v>34</v>
      </c>
      <c r="G2" s="53" t="s">
        <v>79</v>
      </c>
      <c r="O2" s="1"/>
    </row>
    <row r="3" spans="1:20" ht="21" x14ac:dyDescent="0.25">
      <c r="A3" s="52" t="str" cm="1">
        <f t="array" aca="1" ref="A3" ca="1">RIGHT(CELL("filename",D2),LEN(CELL("filename",D2))-FIND("]",CELL("filename",D2)))</f>
        <v>4. Incentive information</v>
      </c>
      <c r="G3" s="54" t="s">
        <v>189</v>
      </c>
      <c r="O3" s="1"/>
    </row>
    <row r="4" spans="1:20" ht="19" x14ac:dyDescent="0.25">
      <c r="A4" s="75" t="str">
        <f>+'0. Instructions'!A4</f>
        <v>Clinic Site XYZ</v>
      </c>
      <c r="G4" s="55" t="s">
        <v>80</v>
      </c>
    </row>
    <row r="6" spans="1:20" ht="19" x14ac:dyDescent="0.25">
      <c r="A6" s="75" t="s">
        <v>346</v>
      </c>
    </row>
    <row r="7" spans="1:20" ht="19" x14ac:dyDescent="0.25">
      <c r="A7" s="75" t="s">
        <v>347</v>
      </c>
    </row>
    <row r="8" spans="1:20" ht="34" x14ac:dyDescent="0.2">
      <c r="C8" s="29" t="s">
        <v>199</v>
      </c>
      <c r="D8" s="23"/>
      <c r="E8" s="23"/>
      <c r="F8" s="201" t="s">
        <v>201</v>
      </c>
      <c r="G8" s="202"/>
      <c r="H8" s="202"/>
      <c r="I8" s="201" t="s">
        <v>200</v>
      </c>
      <c r="J8" s="202"/>
      <c r="K8" s="202"/>
      <c r="L8" s="201" t="s">
        <v>200</v>
      </c>
      <c r="M8" s="202"/>
      <c r="N8" s="202"/>
      <c r="O8" s="201" t="s">
        <v>200</v>
      </c>
      <c r="P8" s="202"/>
      <c r="Q8" s="202"/>
      <c r="R8" s="201" t="s">
        <v>200</v>
      </c>
      <c r="S8" s="202"/>
      <c r="T8" s="202"/>
    </row>
    <row r="9" spans="1:20" ht="119" x14ac:dyDescent="0.2">
      <c r="B9" s="5" t="s">
        <v>118</v>
      </c>
      <c r="C9" s="5" t="s">
        <v>411</v>
      </c>
      <c r="D9" s="5" t="s">
        <v>412</v>
      </c>
      <c r="E9" s="5" t="s">
        <v>413</v>
      </c>
      <c r="F9" s="5" t="s">
        <v>411</v>
      </c>
      <c r="G9" s="5" t="s">
        <v>412</v>
      </c>
      <c r="H9" s="5" t="s">
        <v>413</v>
      </c>
      <c r="I9" s="5" t="s">
        <v>411</v>
      </c>
      <c r="J9" s="5" t="s">
        <v>412</v>
      </c>
      <c r="K9" s="5" t="s">
        <v>413</v>
      </c>
      <c r="L9" s="5" t="s">
        <v>411</v>
      </c>
      <c r="M9" s="5" t="s">
        <v>412</v>
      </c>
      <c r="N9" s="5" t="s">
        <v>413</v>
      </c>
      <c r="O9" s="5" t="s">
        <v>411</v>
      </c>
      <c r="P9" s="5" t="s">
        <v>412</v>
      </c>
      <c r="Q9" s="5" t="s">
        <v>413</v>
      </c>
      <c r="R9" s="5" t="s">
        <v>411</v>
      </c>
      <c r="S9" s="5" t="s">
        <v>412</v>
      </c>
      <c r="T9" s="5" t="s">
        <v>413</v>
      </c>
    </row>
    <row r="10" spans="1:20" x14ac:dyDescent="0.2">
      <c r="B10" s="6" t="s">
        <v>117</v>
      </c>
      <c r="C10" s="14">
        <f>F10+I10+L10+O10+R10</f>
        <v>0</v>
      </c>
      <c r="D10" s="14">
        <f>G10+J10+M10+P10+S10</f>
        <v>45000</v>
      </c>
      <c r="E10" s="14">
        <f>H10+K10+N10+Q10+T10</f>
        <v>0</v>
      </c>
      <c r="F10" s="61">
        <v>0</v>
      </c>
      <c r="G10" s="61">
        <v>45000</v>
      </c>
      <c r="H10" s="61">
        <v>0</v>
      </c>
      <c r="I10" s="61"/>
      <c r="J10" s="61"/>
      <c r="K10" s="61"/>
      <c r="L10" s="61"/>
      <c r="M10" s="61"/>
      <c r="N10" s="61"/>
      <c r="O10" s="61"/>
      <c r="P10" s="61"/>
      <c r="Q10" s="61"/>
      <c r="R10" s="61"/>
      <c r="S10" s="61"/>
      <c r="T10" s="61"/>
    </row>
    <row r="11" spans="1:20" x14ac:dyDescent="0.2">
      <c r="B11" s="6" t="s">
        <v>10</v>
      </c>
      <c r="C11" s="14">
        <f t="shared" ref="C11:C16" si="0">F11+I11+L11+O11+R11</f>
        <v>21000</v>
      </c>
      <c r="D11" s="14">
        <f t="shared" ref="D11:D16" si="1">G11+J11+M11+P11+S11</f>
        <v>28000</v>
      </c>
      <c r="E11" s="14">
        <f t="shared" ref="E11:E16" si="2">H11+K11+N11+Q11+T11</f>
        <v>14000</v>
      </c>
      <c r="F11" s="61">
        <v>21000</v>
      </c>
      <c r="G11" s="61">
        <v>28000</v>
      </c>
      <c r="H11" s="61">
        <v>14000</v>
      </c>
      <c r="I11" s="61"/>
      <c r="J11" s="61"/>
      <c r="K11" s="61"/>
      <c r="L11" s="61"/>
      <c r="M11" s="61"/>
      <c r="N11" s="61"/>
      <c r="O11" s="61"/>
      <c r="P11" s="61"/>
      <c r="Q11" s="61"/>
      <c r="R11" s="61"/>
      <c r="S11" s="61"/>
      <c r="T11" s="61"/>
    </row>
    <row r="12" spans="1:20" x14ac:dyDescent="0.2">
      <c r="B12" s="6" t="s">
        <v>11</v>
      </c>
      <c r="C12" s="14">
        <f t="shared" si="0"/>
        <v>21000</v>
      </c>
      <c r="D12" s="14">
        <f t="shared" si="1"/>
        <v>28000</v>
      </c>
      <c r="E12" s="14">
        <f t="shared" si="2"/>
        <v>14000</v>
      </c>
      <c r="F12" s="61">
        <v>21000</v>
      </c>
      <c r="G12" s="61">
        <v>28000</v>
      </c>
      <c r="H12" s="61">
        <v>14000</v>
      </c>
      <c r="I12" s="61"/>
      <c r="J12" s="61"/>
      <c r="K12" s="61"/>
      <c r="L12" s="61"/>
      <c r="M12" s="61"/>
      <c r="N12" s="61"/>
      <c r="O12" s="61"/>
      <c r="P12" s="61"/>
      <c r="Q12" s="61"/>
      <c r="R12" s="61"/>
      <c r="S12" s="61"/>
      <c r="T12" s="61"/>
    </row>
    <row r="13" spans="1:20" x14ac:dyDescent="0.2">
      <c r="B13" s="6" t="s">
        <v>12</v>
      </c>
      <c r="C13" s="14">
        <f t="shared" si="0"/>
        <v>21000</v>
      </c>
      <c r="D13" s="14">
        <f t="shared" si="1"/>
        <v>28000</v>
      </c>
      <c r="E13" s="14">
        <f t="shared" si="2"/>
        <v>14000</v>
      </c>
      <c r="F13" s="61">
        <v>21000</v>
      </c>
      <c r="G13" s="61">
        <v>28000</v>
      </c>
      <c r="H13" s="61">
        <v>14000</v>
      </c>
      <c r="I13" s="61"/>
      <c r="J13" s="61"/>
      <c r="K13" s="61"/>
      <c r="L13" s="61"/>
      <c r="M13" s="61"/>
      <c r="N13" s="61"/>
      <c r="O13" s="61"/>
      <c r="P13" s="61"/>
      <c r="Q13" s="61"/>
      <c r="R13" s="61"/>
      <c r="S13" s="61"/>
      <c r="T13" s="61"/>
    </row>
    <row r="14" spans="1:20" x14ac:dyDescent="0.2">
      <c r="B14" s="6" t="s">
        <v>13</v>
      </c>
      <c r="C14" s="14">
        <f t="shared" si="0"/>
        <v>21000</v>
      </c>
      <c r="D14" s="14">
        <f t="shared" si="1"/>
        <v>28000</v>
      </c>
      <c r="E14" s="14">
        <f t="shared" si="2"/>
        <v>14000</v>
      </c>
      <c r="F14" s="61">
        <v>21000</v>
      </c>
      <c r="G14" s="61">
        <v>28000</v>
      </c>
      <c r="H14" s="61">
        <v>14000</v>
      </c>
      <c r="I14" s="61"/>
      <c r="J14" s="61"/>
      <c r="K14" s="61"/>
      <c r="L14" s="61"/>
      <c r="M14" s="61"/>
      <c r="N14" s="61"/>
      <c r="O14" s="61"/>
      <c r="P14" s="61"/>
      <c r="Q14" s="61"/>
      <c r="R14" s="61"/>
      <c r="S14" s="61"/>
      <c r="T14" s="61"/>
    </row>
    <row r="15" spans="1:20" ht="32" x14ac:dyDescent="0.2">
      <c r="B15" s="73" t="s">
        <v>116</v>
      </c>
      <c r="C15" s="14">
        <f t="shared" si="0"/>
        <v>21000</v>
      </c>
      <c r="D15" s="14">
        <f t="shared" si="1"/>
        <v>28000</v>
      </c>
      <c r="E15" s="14">
        <f t="shared" si="2"/>
        <v>14000</v>
      </c>
      <c r="F15" s="61">
        <v>21000</v>
      </c>
      <c r="G15" s="61">
        <v>28000</v>
      </c>
      <c r="H15" s="61">
        <v>14000</v>
      </c>
      <c r="I15" s="61"/>
      <c r="J15" s="61"/>
      <c r="K15" s="61"/>
      <c r="L15" s="61"/>
      <c r="M15" s="61"/>
      <c r="N15" s="61"/>
      <c r="O15" s="61"/>
      <c r="P15" s="61"/>
      <c r="Q15" s="61"/>
      <c r="R15" s="61"/>
      <c r="S15" s="61"/>
      <c r="T15" s="61"/>
    </row>
    <row r="16" spans="1:20" x14ac:dyDescent="0.2">
      <c r="B16" s="6" t="s">
        <v>115</v>
      </c>
      <c r="C16" s="14">
        <f t="shared" si="0"/>
        <v>21000</v>
      </c>
      <c r="D16" s="14">
        <f t="shared" si="1"/>
        <v>28000</v>
      </c>
      <c r="E16" s="14">
        <f t="shared" si="2"/>
        <v>14000</v>
      </c>
      <c r="F16" s="61">
        <v>21000</v>
      </c>
      <c r="G16" s="61">
        <v>28000</v>
      </c>
      <c r="H16" s="61">
        <v>14000</v>
      </c>
      <c r="I16" s="61"/>
      <c r="J16" s="61"/>
      <c r="K16" s="61"/>
      <c r="L16" s="61"/>
      <c r="M16" s="61"/>
      <c r="N16" s="61"/>
      <c r="O16" s="61"/>
      <c r="P16" s="61"/>
      <c r="Q16" s="61"/>
      <c r="R16" s="61"/>
      <c r="S16" s="61"/>
      <c r="T16" s="61"/>
    </row>
    <row r="17" spans="2:20" ht="17" x14ac:dyDescent="0.2">
      <c r="B17" s="82" t="s">
        <v>169</v>
      </c>
      <c r="C17" s="62">
        <f>SUM(C10:C16)</f>
        <v>126000</v>
      </c>
      <c r="D17" s="62">
        <f t="shared" ref="D17:T17" si="3">SUM(D10:D16)</f>
        <v>213000</v>
      </c>
      <c r="E17" s="62">
        <f t="shared" si="3"/>
        <v>84000</v>
      </c>
      <c r="F17" s="62">
        <f t="shared" si="3"/>
        <v>126000</v>
      </c>
      <c r="G17" s="62">
        <f t="shared" si="3"/>
        <v>213000</v>
      </c>
      <c r="H17" s="62">
        <f t="shared" si="3"/>
        <v>84000</v>
      </c>
      <c r="I17" s="62">
        <f t="shared" si="3"/>
        <v>0</v>
      </c>
      <c r="J17" s="62">
        <f t="shared" si="3"/>
        <v>0</v>
      </c>
      <c r="K17" s="62">
        <f t="shared" si="3"/>
        <v>0</v>
      </c>
      <c r="L17" s="62">
        <f t="shared" si="3"/>
        <v>0</v>
      </c>
      <c r="M17" s="62">
        <f t="shared" si="3"/>
        <v>0</v>
      </c>
      <c r="N17" s="62">
        <f t="shared" si="3"/>
        <v>0</v>
      </c>
      <c r="O17" s="62">
        <f t="shared" si="3"/>
        <v>0</v>
      </c>
      <c r="P17" s="62">
        <f t="shared" si="3"/>
        <v>0</v>
      </c>
      <c r="Q17" s="62">
        <f t="shared" si="3"/>
        <v>0</v>
      </c>
      <c r="R17" s="62">
        <f t="shared" si="3"/>
        <v>0</v>
      </c>
      <c r="S17" s="62">
        <f t="shared" si="3"/>
        <v>0</v>
      </c>
      <c r="T17" s="62">
        <f t="shared" si="3"/>
        <v>0</v>
      </c>
    </row>
    <row r="18" spans="2:20" ht="16" x14ac:dyDescent="0.2">
      <c r="B18" s="77"/>
      <c r="C18" s="78"/>
      <c r="D18" s="78"/>
      <c r="E18" s="78"/>
      <c r="F18" s="78"/>
      <c r="G18" s="78"/>
      <c r="H18" s="78"/>
      <c r="I18" s="78"/>
      <c r="J18" s="78"/>
      <c r="K18" s="78"/>
      <c r="L18" s="78"/>
      <c r="M18" s="78"/>
      <c r="N18" s="78"/>
      <c r="O18" s="78"/>
      <c r="P18" s="78"/>
      <c r="Q18" s="78"/>
      <c r="R18" s="78"/>
      <c r="S18" s="78"/>
      <c r="T18" s="78"/>
    </row>
    <row r="19" spans="2:20" ht="102" x14ac:dyDescent="0.2">
      <c r="B19" s="5" t="s">
        <v>114</v>
      </c>
      <c r="C19" s="5" t="s">
        <v>411</v>
      </c>
      <c r="D19" s="5" t="s">
        <v>412</v>
      </c>
      <c r="E19" s="5" t="s">
        <v>413</v>
      </c>
      <c r="F19" s="5" t="s">
        <v>411</v>
      </c>
      <c r="G19" s="5" t="s">
        <v>412</v>
      </c>
      <c r="H19" s="5" t="s">
        <v>413</v>
      </c>
      <c r="I19" s="5" t="s">
        <v>411</v>
      </c>
      <c r="J19" s="5" t="s">
        <v>412</v>
      </c>
      <c r="K19" s="5" t="s">
        <v>413</v>
      </c>
      <c r="L19" s="5" t="s">
        <v>411</v>
      </c>
      <c r="M19" s="5" t="s">
        <v>412</v>
      </c>
      <c r="N19" s="5" t="s">
        <v>413</v>
      </c>
      <c r="O19" s="5" t="s">
        <v>411</v>
      </c>
      <c r="P19" s="5" t="s">
        <v>412</v>
      </c>
      <c r="Q19" s="5" t="s">
        <v>413</v>
      </c>
      <c r="R19" s="5" t="s">
        <v>411</v>
      </c>
      <c r="S19" s="5" t="s">
        <v>412</v>
      </c>
      <c r="T19" s="5" t="s">
        <v>413</v>
      </c>
    </row>
    <row r="20" spans="2:20" x14ac:dyDescent="0.2">
      <c r="B20" s="6" t="s">
        <v>113</v>
      </c>
      <c r="C20" s="14">
        <f t="shared" ref="C20:C31" si="4">F20+I20+L20+O20+R20</f>
        <v>21000</v>
      </c>
      <c r="D20" s="14">
        <f t="shared" ref="D20:D31" si="5">G20+J20+M20+P20+S20</f>
        <v>28000</v>
      </c>
      <c r="E20" s="14">
        <f t="shared" ref="E20:E31" si="6">H20+K20+N20+Q20+T20</f>
        <v>14000</v>
      </c>
      <c r="F20" s="63"/>
      <c r="G20" s="63"/>
      <c r="H20" s="63"/>
      <c r="I20" s="72">
        <v>21000</v>
      </c>
      <c r="J20" s="72">
        <v>28000</v>
      </c>
      <c r="K20" s="72">
        <v>14000</v>
      </c>
      <c r="L20" s="72"/>
      <c r="M20" s="72"/>
      <c r="N20" s="72"/>
      <c r="O20" s="72"/>
      <c r="P20" s="72"/>
      <c r="Q20" s="72"/>
      <c r="R20" s="61"/>
      <c r="S20" s="61"/>
      <c r="T20" s="61"/>
    </row>
    <row r="21" spans="2:20" x14ac:dyDescent="0.2">
      <c r="B21" s="6" t="s">
        <v>112</v>
      </c>
      <c r="C21" s="14">
        <f t="shared" si="4"/>
        <v>0</v>
      </c>
      <c r="D21" s="14">
        <f t="shared" si="5"/>
        <v>0</v>
      </c>
      <c r="E21" s="14">
        <f t="shared" si="6"/>
        <v>0</v>
      </c>
      <c r="F21" s="72"/>
      <c r="G21" s="72"/>
      <c r="H21" s="72"/>
      <c r="I21" s="72"/>
      <c r="J21" s="72"/>
      <c r="K21" s="72"/>
      <c r="L21" s="72"/>
      <c r="M21" s="72"/>
      <c r="N21" s="72"/>
      <c r="O21" s="72"/>
      <c r="P21" s="72"/>
      <c r="Q21" s="72"/>
      <c r="R21" s="61"/>
      <c r="S21" s="61"/>
      <c r="T21" s="61"/>
    </row>
    <row r="22" spans="2:20" x14ac:dyDescent="0.2">
      <c r="B22" s="6" t="s">
        <v>111</v>
      </c>
      <c r="C22" s="14">
        <f t="shared" si="4"/>
        <v>0</v>
      </c>
      <c r="D22" s="14">
        <f t="shared" si="5"/>
        <v>0</v>
      </c>
      <c r="E22" s="14">
        <f t="shared" si="6"/>
        <v>0</v>
      </c>
      <c r="F22" s="72"/>
      <c r="G22" s="72"/>
      <c r="H22" s="72"/>
      <c r="I22" s="72"/>
      <c r="J22" s="72"/>
      <c r="K22" s="72"/>
      <c r="L22" s="72"/>
      <c r="M22" s="72"/>
      <c r="N22" s="72"/>
      <c r="O22" s="72"/>
      <c r="P22" s="72"/>
      <c r="Q22" s="72"/>
      <c r="R22" s="61"/>
      <c r="S22" s="61"/>
      <c r="T22" s="61"/>
    </row>
    <row r="23" spans="2:20" x14ac:dyDescent="0.2">
      <c r="B23" s="6" t="s">
        <v>110</v>
      </c>
      <c r="C23" s="14">
        <f t="shared" si="4"/>
        <v>0</v>
      </c>
      <c r="D23" s="14">
        <f t="shared" si="5"/>
        <v>0</v>
      </c>
      <c r="E23" s="14">
        <f t="shared" si="6"/>
        <v>0</v>
      </c>
      <c r="F23" s="72"/>
      <c r="G23" s="72"/>
      <c r="H23" s="72"/>
      <c r="I23" s="72"/>
      <c r="J23" s="72"/>
      <c r="K23" s="72"/>
      <c r="L23" s="72"/>
      <c r="M23" s="72"/>
      <c r="N23" s="72"/>
      <c r="O23" s="72"/>
      <c r="P23" s="72"/>
      <c r="Q23" s="72"/>
      <c r="R23" s="61"/>
      <c r="S23" s="61"/>
      <c r="T23" s="61"/>
    </row>
    <row r="24" spans="2:20" x14ac:dyDescent="0.2">
      <c r="B24" s="6" t="s">
        <v>109</v>
      </c>
      <c r="C24" s="14">
        <f t="shared" si="4"/>
        <v>0</v>
      </c>
      <c r="D24" s="14">
        <f t="shared" si="5"/>
        <v>0</v>
      </c>
      <c r="E24" s="14">
        <f t="shared" si="6"/>
        <v>0</v>
      </c>
      <c r="F24" s="72"/>
      <c r="G24" s="72"/>
      <c r="H24" s="72"/>
      <c r="I24" s="72"/>
      <c r="J24" s="72"/>
      <c r="K24" s="72"/>
      <c r="L24" s="72"/>
      <c r="M24" s="72"/>
      <c r="N24" s="72"/>
      <c r="O24" s="72"/>
      <c r="P24" s="72"/>
      <c r="Q24" s="72"/>
      <c r="R24" s="61"/>
      <c r="S24" s="61"/>
      <c r="T24" s="61"/>
    </row>
    <row r="25" spans="2:20" x14ac:dyDescent="0.2">
      <c r="B25" s="6" t="s">
        <v>108</v>
      </c>
      <c r="C25" s="14">
        <f t="shared" si="4"/>
        <v>0</v>
      </c>
      <c r="D25" s="14">
        <f t="shared" si="5"/>
        <v>0</v>
      </c>
      <c r="E25" s="14">
        <f t="shared" si="6"/>
        <v>0</v>
      </c>
      <c r="F25" s="72"/>
      <c r="G25" s="72"/>
      <c r="H25" s="72"/>
      <c r="I25" s="72"/>
      <c r="J25" s="72"/>
      <c r="K25" s="72"/>
      <c r="L25" s="72"/>
      <c r="M25" s="72"/>
      <c r="N25" s="72"/>
      <c r="O25" s="72"/>
      <c r="P25" s="72"/>
      <c r="Q25" s="72"/>
      <c r="R25" s="61"/>
      <c r="S25" s="61"/>
      <c r="T25" s="61"/>
    </row>
    <row r="26" spans="2:20" x14ac:dyDescent="0.2">
      <c r="B26" s="6" t="s">
        <v>107</v>
      </c>
      <c r="C26" s="14">
        <f t="shared" si="4"/>
        <v>0</v>
      </c>
      <c r="D26" s="14">
        <f t="shared" si="5"/>
        <v>0</v>
      </c>
      <c r="E26" s="14">
        <f t="shared" si="6"/>
        <v>0</v>
      </c>
      <c r="F26" s="72"/>
      <c r="G26" s="72"/>
      <c r="H26" s="72"/>
      <c r="I26" s="72"/>
      <c r="J26" s="72"/>
      <c r="K26" s="72"/>
      <c r="L26" s="72"/>
      <c r="M26" s="72"/>
      <c r="N26" s="72"/>
      <c r="O26" s="72"/>
      <c r="P26" s="72"/>
      <c r="Q26" s="72"/>
      <c r="R26" s="61"/>
      <c r="S26" s="61"/>
      <c r="T26" s="61"/>
    </row>
    <row r="27" spans="2:20" x14ac:dyDescent="0.2">
      <c r="B27" s="6" t="s">
        <v>106</v>
      </c>
      <c r="C27" s="14">
        <f t="shared" si="4"/>
        <v>0</v>
      </c>
      <c r="D27" s="14">
        <f t="shared" si="5"/>
        <v>0</v>
      </c>
      <c r="E27" s="14">
        <f t="shared" si="6"/>
        <v>0</v>
      </c>
      <c r="F27" s="72"/>
      <c r="G27" s="72"/>
      <c r="H27" s="72"/>
      <c r="I27" s="72"/>
      <c r="J27" s="72"/>
      <c r="K27" s="72"/>
      <c r="L27" s="72"/>
      <c r="M27" s="72"/>
      <c r="N27" s="72"/>
      <c r="O27" s="72"/>
      <c r="P27" s="72"/>
      <c r="Q27" s="72"/>
      <c r="R27" s="61"/>
      <c r="S27" s="61"/>
      <c r="T27" s="61"/>
    </row>
    <row r="28" spans="2:20" x14ac:dyDescent="0.2">
      <c r="B28" s="6" t="s">
        <v>105</v>
      </c>
      <c r="C28" s="14">
        <f t="shared" si="4"/>
        <v>0</v>
      </c>
      <c r="D28" s="14">
        <f t="shared" si="5"/>
        <v>0</v>
      </c>
      <c r="E28" s="14">
        <f t="shared" si="6"/>
        <v>0</v>
      </c>
      <c r="F28" s="72"/>
      <c r="G28" s="72"/>
      <c r="H28" s="72"/>
      <c r="I28" s="72"/>
      <c r="J28" s="72"/>
      <c r="K28" s="72"/>
      <c r="L28" s="72"/>
      <c r="M28" s="72"/>
      <c r="N28" s="72"/>
      <c r="O28" s="72"/>
      <c r="P28" s="72"/>
      <c r="Q28" s="72"/>
      <c r="R28" s="61"/>
      <c r="S28" s="61"/>
      <c r="T28" s="61"/>
    </row>
    <row r="29" spans="2:20" x14ac:dyDescent="0.2">
      <c r="B29" s="6" t="s">
        <v>104</v>
      </c>
      <c r="C29" s="14">
        <f t="shared" si="4"/>
        <v>0</v>
      </c>
      <c r="D29" s="14">
        <f t="shared" si="5"/>
        <v>0</v>
      </c>
      <c r="E29" s="14">
        <f t="shared" si="6"/>
        <v>0</v>
      </c>
      <c r="F29" s="72"/>
      <c r="G29" s="72"/>
      <c r="H29" s="72"/>
      <c r="I29" s="72"/>
      <c r="J29" s="72"/>
      <c r="K29" s="72"/>
      <c r="L29" s="72"/>
      <c r="M29" s="72"/>
      <c r="N29" s="72"/>
      <c r="O29" s="72"/>
      <c r="P29" s="72"/>
      <c r="Q29" s="72"/>
      <c r="R29" s="61"/>
      <c r="S29" s="61"/>
      <c r="T29" s="61"/>
    </row>
    <row r="30" spans="2:20" x14ac:dyDescent="0.2">
      <c r="B30" s="6" t="s">
        <v>103</v>
      </c>
      <c r="C30" s="14">
        <f t="shared" si="4"/>
        <v>0</v>
      </c>
      <c r="D30" s="14">
        <f t="shared" si="5"/>
        <v>0</v>
      </c>
      <c r="E30" s="14">
        <f t="shared" si="6"/>
        <v>0</v>
      </c>
      <c r="F30" s="72"/>
      <c r="G30" s="72"/>
      <c r="H30" s="72"/>
      <c r="I30" s="72"/>
      <c r="J30" s="72"/>
      <c r="K30" s="72"/>
      <c r="L30" s="72"/>
      <c r="M30" s="72"/>
      <c r="N30" s="72"/>
      <c r="O30" s="72"/>
      <c r="P30" s="72"/>
      <c r="Q30" s="72"/>
      <c r="R30" s="61"/>
      <c r="S30" s="61"/>
      <c r="T30" s="61"/>
    </row>
    <row r="31" spans="2:20" x14ac:dyDescent="0.2">
      <c r="B31" s="6" t="s">
        <v>102</v>
      </c>
      <c r="C31" s="14">
        <f t="shared" si="4"/>
        <v>0</v>
      </c>
      <c r="D31" s="14">
        <f t="shared" si="5"/>
        <v>0</v>
      </c>
      <c r="E31" s="14">
        <f t="shared" si="6"/>
        <v>0</v>
      </c>
      <c r="F31" s="72"/>
      <c r="G31" s="72"/>
      <c r="H31" s="72"/>
      <c r="I31" s="72"/>
      <c r="J31" s="72"/>
      <c r="K31" s="72"/>
      <c r="L31" s="72"/>
      <c r="M31" s="72"/>
      <c r="N31" s="72"/>
      <c r="O31" s="72"/>
      <c r="P31" s="72"/>
      <c r="Q31" s="72"/>
      <c r="R31" s="61"/>
      <c r="S31" s="61"/>
      <c r="T31" s="61"/>
    </row>
    <row r="32" spans="2:20" ht="34" x14ac:dyDescent="0.2">
      <c r="B32" s="82" t="s">
        <v>170</v>
      </c>
      <c r="C32" s="62">
        <f>SUM(C20:C31)</f>
        <v>21000</v>
      </c>
      <c r="D32" s="62">
        <f t="shared" ref="D32:T32" si="7">SUM(D20:D31)</f>
        <v>28000</v>
      </c>
      <c r="E32" s="62">
        <f t="shared" si="7"/>
        <v>14000</v>
      </c>
      <c r="F32" s="62">
        <f t="shared" si="7"/>
        <v>0</v>
      </c>
      <c r="G32" s="62">
        <f t="shared" si="7"/>
        <v>0</v>
      </c>
      <c r="H32" s="62">
        <f t="shared" si="7"/>
        <v>0</v>
      </c>
      <c r="I32" s="62">
        <f t="shared" si="7"/>
        <v>21000</v>
      </c>
      <c r="J32" s="62">
        <f t="shared" si="7"/>
        <v>28000</v>
      </c>
      <c r="K32" s="62">
        <f t="shared" si="7"/>
        <v>14000</v>
      </c>
      <c r="L32" s="62">
        <f t="shared" si="7"/>
        <v>0</v>
      </c>
      <c r="M32" s="62">
        <f t="shared" si="7"/>
        <v>0</v>
      </c>
      <c r="N32" s="62">
        <f t="shared" si="7"/>
        <v>0</v>
      </c>
      <c r="O32" s="62">
        <f t="shared" si="7"/>
        <v>0</v>
      </c>
      <c r="P32" s="62">
        <f t="shared" si="7"/>
        <v>0</v>
      </c>
      <c r="Q32" s="62">
        <f t="shared" si="7"/>
        <v>0</v>
      </c>
      <c r="R32" s="62">
        <f t="shared" si="7"/>
        <v>0</v>
      </c>
      <c r="S32" s="62">
        <f t="shared" si="7"/>
        <v>0</v>
      </c>
      <c r="T32" s="62">
        <f t="shared" si="7"/>
        <v>0</v>
      </c>
    </row>
    <row r="33" spans="2:20" x14ac:dyDescent="0.2">
      <c r="B33" s="79"/>
      <c r="C33" s="80"/>
      <c r="D33" s="80"/>
      <c r="E33" s="80"/>
      <c r="F33" s="78"/>
      <c r="G33" s="78"/>
      <c r="H33" s="78"/>
      <c r="I33" s="78"/>
      <c r="J33" s="78"/>
      <c r="K33" s="78"/>
      <c r="L33" s="78"/>
      <c r="M33" s="78"/>
      <c r="N33" s="78"/>
      <c r="O33" s="78"/>
      <c r="P33" s="78"/>
      <c r="Q33" s="78"/>
      <c r="R33" s="78"/>
      <c r="S33" s="78"/>
      <c r="T33" s="78"/>
    </row>
    <row r="34" spans="2:20" ht="102" x14ac:dyDescent="0.2">
      <c r="B34" s="5" t="s">
        <v>101</v>
      </c>
      <c r="C34" s="5" t="s">
        <v>411</v>
      </c>
      <c r="D34" s="5" t="s">
        <v>412</v>
      </c>
      <c r="E34" s="5" t="s">
        <v>413</v>
      </c>
      <c r="F34" s="5" t="s">
        <v>411</v>
      </c>
      <c r="G34" s="5" t="s">
        <v>412</v>
      </c>
      <c r="H34" s="5" t="s">
        <v>413</v>
      </c>
      <c r="I34" s="5" t="s">
        <v>411</v>
      </c>
      <c r="J34" s="5" t="s">
        <v>412</v>
      </c>
      <c r="K34" s="5" t="s">
        <v>413</v>
      </c>
      <c r="L34" s="5" t="s">
        <v>411</v>
      </c>
      <c r="M34" s="5" t="s">
        <v>412</v>
      </c>
      <c r="N34" s="5" t="s">
        <v>413</v>
      </c>
      <c r="O34" s="5" t="s">
        <v>411</v>
      </c>
      <c r="P34" s="5" t="s">
        <v>412</v>
      </c>
      <c r="Q34" s="5" t="s">
        <v>413</v>
      </c>
      <c r="R34" s="5" t="s">
        <v>411</v>
      </c>
      <c r="S34" s="5" t="s">
        <v>412</v>
      </c>
      <c r="T34" s="5" t="s">
        <v>413</v>
      </c>
    </row>
    <row r="35" spans="2:20" x14ac:dyDescent="0.2">
      <c r="B35" s="6" t="s">
        <v>14</v>
      </c>
      <c r="C35" s="14">
        <f t="shared" ref="C35:E37" si="8">F35+I35+L35+O35+R35</f>
        <v>0</v>
      </c>
      <c r="D35" s="14">
        <f t="shared" si="8"/>
        <v>0</v>
      </c>
      <c r="E35" s="14">
        <f t="shared" si="8"/>
        <v>0</v>
      </c>
      <c r="F35" s="72"/>
      <c r="G35" s="72"/>
      <c r="H35" s="72"/>
      <c r="I35" s="72"/>
      <c r="J35" s="72"/>
      <c r="K35" s="72"/>
      <c r="L35" s="72"/>
      <c r="M35" s="72"/>
      <c r="N35" s="72"/>
      <c r="O35" s="72"/>
      <c r="P35" s="72"/>
      <c r="Q35" s="72"/>
      <c r="R35" s="72"/>
      <c r="S35" s="72"/>
      <c r="T35" s="72"/>
    </row>
    <row r="36" spans="2:20" x14ac:dyDescent="0.2">
      <c r="B36" s="6" t="s">
        <v>15</v>
      </c>
      <c r="C36" s="14">
        <f t="shared" si="8"/>
        <v>0</v>
      </c>
      <c r="D36" s="14">
        <f t="shared" si="8"/>
        <v>0</v>
      </c>
      <c r="E36" s="14">
        <f t="shared" si="8"/>
        <v>0</v>
      </c>
      <c r="F36" s="72"/>
      <c r="G36" s="72"/>
      <c r="H36" s="72"/>
      <c r="I36" s="72"/>
      <c r="J36" s="72"/>
      <c r="K36" s="72"/>
      <c r="L36" s="72"/>
      <c r="M36" s="72"/>
      <c r="N36" s="72"/>
      <c r="O36" s="72"/>
      <c r="P36" s="72"/>
      <c r="Q36" s="72"/>
      <c r="R36" s="72"/>
      <c r="S36" s="72"/>
      <c r="T36" s="72"/>
    </row>
    <row r="37" spans="2:20" x14ac:dyDescent="0.2">
      <c r="B37" s="6" t="s">
        <v>16</v>
      </c>
      <c r="C37" s="14">
        <f t="shared" si="8"/>
        <v>0</v>
      </c>
      <c r="D37" s="14">
        <f t="shared" si="8"/>
        <v>0</v>
      </c>
      <c r="E37" s="14">
        <f t="shared" si="8"/>
        <v>0</v>
      </c>
      <c r="F37" s="72"/>
      <c r="G37" s="72"/>
      <c r="H37" s="72"/>
      <c r="I37" s="72"/>
      <c r="J37" s="72"/>
      <c r="K37" s="72"/>
      <c r="L37" s="72"/>
      <c r="M37" s="72"/>
      <c r="N37" s="72"/>
      <c r="O37" s="72"/>
      <c r="P37" s="72"/>
      <c r="Q37" s="72"/>
      <c r="R37" s="72"/>
      <c r="S37" s="72"/>
      <c r="T37" s="72"/>
    </row>
    <row r="38" spans="2:20" ht="34" x14ac:dyDescent="0.2">
      <c r="B38" s="82" t="s">
        <v>100</v>
      </c>
      <c r="C38" s="62">
        <f>SUM(C35:C37)</f>
        <v>0</v>
      </c>
      <c r="D38" s="62">
        <f t="shared" ref="D38:T38" si="9">SUM(D35:D37)</f>
        <v>0</v>
      </c>
      <c r="E38" s="62">
        <f t="shared" si="9"/>
        <v>0</v>
      </c>
      <c r="F38" s="62">
        <f t="shared" si="9"/>
        <v>0</v>
      </c>
      <c r="G38" s="62">
        <f t="shared" si="9"/>
        <v>0</v>
      </c>
      <c r="H38" s="62">
        <f t="shared" si="9"/>
        <v>0</v>
      </c>
      <c r="I38" s="62">
        <f t="shared" si="9"/>
        <v>0</v>
      </c>
      <c r="J38" s="62">
        <f t="shared" si="9"/>
        <v>0</v>
      </c>
      <c r="K38" s="62">
        <f t="shared" si="9"/>
        <v>0</v>
      </c>
      <c r="L38" s="62">
        <f t="shared" si="9"/>
        <v>0</v>
      </c>
      <c r="M38" s="62">
        <f t="shared" si="9"/>
        <v>0</v>
      </c>
      <c r="N38" s="62">
        <f t="shared" si="9"/>
        <v>0</v>
      </c>
      <c r="O38" s="62">
        <f t="shared" si="9"/>
        <v>0</v>
      </c>
      <c r="P38" s="62">
        <f t="shared" si="9"/>
        <v>0</v>
      </c>
      <c r="Q38" s="62">
        <f t="shared" si="9"/>
        <v>0</v>
      </c>
      <c r="R38" s="62">
        <f t="shared" si="9"/>
        <v>0</v>
      </c>
      <c r="S38" s="62">
        <f t="shared" si="9"/>
        <v>0</v>
      </c>
      <c r="T38" s="62">
        <f t="shared" si="9"/>
        <v>0</v>
      </c>
    </row>
    <row r="39" spans="2:20" ht="16" x14ac:dyDescent="0.2">
      <c r="B39" s="81"/>
      <c r="C39" s="80"/>
      <c r="D39" s="80"/>
      <c r="E39" s="80"/>
      <c r="F39" s="80"/>
      <c r="G39" s="80"/>
      <c r="H39" s="80"/>
      <c r="I39" s="78"/>
      <c r="J39" s="78"/>
      <c r="K39" s="78"/>
      <c r="L39" s="78"/>
      <c r="M39" s="78"/>
      <c r="N39" s="78"/>
      <c r="O39" s="78"/>
      <c r="P39" s="78"/>
      <c r="Q39" s="78"/>
      <c r="R39" s="78"/>
      <c r="S39" s="78"/>
      <c r="T39" s="78"/>
    </row>
    <row r="40" spans="2:20" ht="102" x14ac:dyDescent="0.2">
      <c r="B40" s="5" t="s">
        <v>269</v>
      </c>
      <c r="C40" s="5" t="s">
        <v>411</v>
      </c>
      <c r="D40" s="5" t="s">
        <v>412</v>
      </c>
      <c r="E40" s="5" t="s">
        <v>413</v>
      </c>
      <c r="F40" s="5" t="s">
        <v>411</v>
      </c>
      <c r="G40" s="5" t="s">
        <v>412</v>
      </c>
      <c r="H40" s="5" t="s">
        <v>413</v>
      </c>
      <c r="I40" s="5" t="s">
        <v>411</v>
      </c>
      <c r="J40" s="5" t="s">
        <v>412</v>
      </c>
      <c r="K40" s="5" t="s">
        <v>413</v>
      </c>
      <c r="L40" s="5" t="s">
        <v>411</v>
      </c>
      <c r="M40" s="5" t="s">
        <v>412</v>
      </c>
      <c r="N40" s="5" t="s">
        <v>413</v>
      </c>
      <c r="O40" s="5" t="s">
        <v>411</v>
      </c>
      <c r="P40" s="5" t="s">
        <v>412</v>
      </c>
      <c r="Q40" s="5" t="s">
        <v>413</v>
      </c>
      <c r="R40" s="5" t="s">
        <v>411</v>
      </c>
      <c r="S40" s="5" t="s">
        <v>412</v>
      </c>
      <c r="T40" s="5" t="s">
        <v>413</v>
      </c>
    </row>
    <row r="41" spans="2:20" x14ac:dyDescent="0.2">
      <c r="B41" s="63" t="s">
        <v>50</v>
      </c>
      <c r="C41" s="14">
        <f t="shared" ref="C41:E47" si="10">F41+I41+L41+O41+R41</f>
        <v>0</v>
      </c>
      <c r="D41" s="14">
        <f t="shared" si="10"/>
        <v>0</v>
      </c>
      <c r="E41" s="14">
        <f t="shared" si="10"/>
        <v>0</v>
      </c>
      <c r="F41" s="61"/>
      <c r="G41" s="61"/>
      <c r="H41" s="61"/>
      <c r="I41" s="61"/>
      <c r="J41" s="61"/>
      <c r="K41" s="61"/>
      <c r="L41" s="61"/>
      <c r="M41" s="61"/>
      <c r="N41" s="61"/>
      <c r="O41" s="61"/>
      <c r="P41" s="61"/>
      <c r="Q41" s="61"/>
      <c r="R41" s="61"/>
      <c r="S41" s="61"/>
      <c r="T41" s="61"/>
    </row>
    <row r="42" spans="2:20" x14ac:dyDescent="0.2">
      <c r="B42" s="61" t="s">
        <v>50</v>
      </c>
      <c r="C42" s="14">
        <f t="shared" si="10"/>
        <v>0</v>
      </c>
      <c r="D42" s="14">
        <f t="shared" si="10"/>
        <v>0</v>
      </c>
      <c r="E42" s="14">
        <f t="shared" si="10"/>
        <v>0</v>
      </c>
      <c r="F42" s="61"/>
      <c r="G42" s="61"/>
      <c r="H42" s="61"/>
      <c r="I42" s="61"/>
      <c r="J42" s="61"/>
      <c r="K42" s="61"/>
      <c r="L42" s="61"/>
      <c r="M42" s="61"/>
      <c r="N42" s="61"/>
      <c r="O42" s="61"/>
      <c r="P42" s="61"/>
      <c r="Q42" s="61"/>
      <c r="R42" s="61"/>
      <c r="S42" s="61"/>
      <c r="T42" s="61"/>
    </row>
    <row r="43" spans="2:20" x14ac:dyDescent="0.2">
      <c r="B43" s="61" t="s">
        <v>50</v>
      </c>
      <c r="C43" s="14">
        <f t="shared" si="10"/>
        <v>0</v>
      </c>
      <c r="D43" s="14">
        <f t="shared" si="10"/>
        <v>0</v>
      </c>
      <c r="E43" s="14">
        <f t="shared" si="10"/>
        <v>0</v>
      </c>
      <c r="F43" s="61"/>
      <c r="G43" s="61"/>
      <c r="H43" s="61"/>
      <c r="I43" s="61"/>
      <c r="J43" s="61"/>
      <c r="K43" s="61"/>
      <c r="L43" s="61"/>
      <c r="M43" s="61"/>
      <c r="N43" s="61"/>
      <c r="O43" s="61"/>
      <c r="P43" s="61"/>
      <c r="Q43" s="61"/>
      <c r="R43" s="61"/>
      <c r="S43" s="61"/>
      <c r="T43" s="61"/>
    </row>
    <row r="44" spans="2:20" x14ac:dyDescent="0.2">
      <c r="B44" s="61" t="s">
        <v>50</v>
      </c>
      <c r="C44" s="14">
        <f t="shared" si="10"/>
        <v>0</v>
      </c>
      <c r="D44" s="14">
        <f t="shared" si="10"/>
        <v>0</v>
      </c>
      <c r="E44" s="14">
        <f t="shared" si="10"/>
        <v>0</v>
      </c>
      <c r="F44" s="61"/>
      <c r="G44" s="61"/>
      <c r="H44" s="61"/>
      <c r="I44" s="61"/>
      <c r="J44" s="61"/>
      <c r="K44" s="61"/>
      <c r="L44" s="61"/>
      <c r="M44" s="61"/>
      <c r="N44" s="61"/>
      <c r="O44" s="61"/>
      <c r="P44" s="61"/>
      <c r="Q44" s="61"/>
      <c r="R44" s="61"/>
      <c r="S44" s="61"/>
      <c r="T44" s="61"/>
    </row>
    <row r="45" spans="2:20" x14ac:dyDescent="0.2">
      <c r="B45" s="61" t="s">
        <v>50</v>
      </c>
      <c r="C45" s="14">
        <f t="shared" si="10"/>
        <v>0</v>
      </c>
      <c r="D45" s="14">
        <f t="shared" si="10"/>
        <v>0</v>
      </c>
      <c r="E45" s="14">
        <f t="shared" si="10"/>
        <v>0</v>
      </c>
      <c r="F45" s="61"/>
      <c r="G45" s="61"/>
      <c r="H45" s="61"/>
      <c r="I45" s="61"/>
      <c r="J45" s="61"/>
      <c r="K45" s="61"/>
      <c r="L45" s="61"/>
      <c r="M45" s="61"/>
      <c r="N45" s="61"/>
      <c r="O45" s="61"/>
      <c r="P45" s="61"/>
      <c r="Q45" s="61"/>
      <c r="R45" s="61"/>
      <c r="S45" s="61"/>
      <c r="T45" s="61"/>
    </row>
    <row r="46" spans="2:20" x14ac:dyDescent="0.2">
      <c r="B46" s="61" t="s">
        <v>50</v>
      </c>
      <c r="C46" s="14">
        <f t="shared" si="10"/>
        <v>0</v>
      </c>
      <c r="D46" s="14">
        <f t="shared" si="10"/>
        <v>0</v>
      </c>
      <c r="E46" s="14">
        <f t="shared" si="10"/>
        <v>0</v>
      </c>
      <c r="F46" s="61"/>
      <c r="G46" s="61"/>
      <c r="H46" s="61"/>
      <c r="I46" s="61"/>
      <c r="J46" s="61"/>
      <c r="K46" s="61"/>
      <c r="L46" s="61"/>
      <c r="M46" s="61"/>
      <c r="N46" s="61"/>
      <c r="O46" s="61"/>
      <c r="P46" s="61"/>
      <c r="Q46" s="61"/>
      <c r="R46" s="61"/>
      <c r="S46" s="61"/>
      <c r="T46" s="61"/>
    </row>
    <row r="47" spans="2:20" x14ac:dyDescent="0.2">
      <c r="B47" s="61" t="s">
        <v>50</v>
      </c>
      <c r="C47" s="14">
        <f t="shared" si="10"/>
        <v>0</v>
      </c>
      <c r="D47" s="14">
        <f t="shared" si="10"/>
        <v>0</v>
      </c>
      <c r="E47" s="14">
        <f t="shared" si="10"/>
        <v>0</v>
      </c>
      <c r="F47" s="61"/>
      <c r="G47" s="61"/>
      <c r="H47" s="61"/>
      <c r="I47" s="61"/>
      <c r="J47" s="61"/>
      <c r="K47" s="61"/>
      <c r="L47" s="61"/>
      <c r="M47" s="61"/>
      <c r="N47" s="61"/>
      <c r="O47" s="61"/>
      <c r="P47" s="61"/>
      <c r="Q47" s="61"/>
      <c r="R47" s="61"/>
      <c r="S47" s="61"/>
      <c r="T47" s="61"/>
    </row>
    <row r="48" spans="2:20" ht="17" x14ac:dyDescent="0.2">
      <c r="B48" s="82" t="s">
        <v>171</v>
      </c>
      <c r="C48" s="62">
        <f>SUM(C41:C47)</f>
        <v>0</v>
      </c>
      <c r="D48" s="62">
        <f t="shared" ref="D48:T48" si="11">SUM(D41:D47)</f>
        <v>0</v>
      </c>
      <c r="E48" s="62">
        <f t="shared" si="11"/>
        <v>0</v>
      </c>
      <c r="F48" s="62">
        <f t="shared" si="11"/>
        <v>0</v>
      </c>
      <c r="G48" s="62">
        <f t="shared" si="11"/>
        <v>0</v>
      </c>
      <c r="H48" s="62">
        <f t="shared" si="11"/>
        <v>0</v>
      </c>
      <c r="I48" s="62">
        <f t="shared" si="11"/>
        <v>0</v>
      </c>
      <c r="J48" s="62">
        <f t="shared" si="11"/>
        <v>0</v>
      </c>
      <c r="K48" s="62">
        <f t="shared" si="11"/>
        <v>0</v>
      </c>
      <c r="L48" s="62">
        <f t="shared" si="11"/>
        <v>0</v>
      </c>
      <c r="M48" s="62">
        <f t="shared" si="11"/>
        <v>0</v>
      </c>
      <c r="N48" s="62">
        <f t="shared" si="11"/>
        <v>0</v>
      </c>
      <c r="O48" s="62">
        <f t="shared" si="11"/>
        <v>0</v>
      </c>
      <c r="P48" s="62">
        <f t="shared" si="11"/>
        <v>0</v>
      </c>
      <c r="Q48" s="62">
        <f t="shared" si="11"/>
        <v>0</v>
      </c>
      <c r="R48" s="62">
        <f t="shared" si="11"/>
        <v>0</v>
      </c>
      <c r="S48" s="62">
        <f t="shared" si="11"/>
        <v>0</v>
      </c>
      <c r="T48" s="62">
        <f t="shared" si="11"/>
        <v>0</v>
      </c>
    </row>
    <row r="49" spans="1:20" ht="16" thickBot="1" x14ac:dyDescent="0.25"/>
    <row r="50" spans="1:20" ht="18" thickBot="1" x14ac:dyDescent="0.25">
      <c r="B50" s="83" t="s">
        <v>51</v>
      </c>
      <c r="C50" s="84">
        <f t="shared" ref="C50:T50" si="12">+C17+C32+C38+C48</f>
        <v>147000</v>
      </c>
      <c r="D50" s="84">
        <f t="shared" si="12"/>
        <v>241000</v>
      </c>
      <c r="E50" s="84">
        <f t="shared" si="12"/>
        <v>98000</v>
      </c>
      <c r="F50" s="84">
        <f t="shared" si="12"/>
        <v>126000</v>
      </c>
      <c r="G50" s="84">
        <f t="shared" si="12"/>
        <v>213000</v>
      </c>
      <c r="H50" s="84">
        <f t="shared" si="12"/>
        <v>84000</v>
      </c>
      <c r="I50" s="84">
        <f t="shared" si="12"/>
        <v>21000</v>
      </c>
      <c r="J50" s="84">
        <f t="shared" si="12"/>
        <v>28000</v>
      </c>
      <c r="K50" s="84">
        <f t="shared" si="12"/>
        <v>14000</v>
      </c>
      <c r="L50" s="84">
        <f t="shared" si="12"/>
        <v>0</v>
      </c>
      <c r="M50" s="84">
        <f t="shared" si="12"/>
        <v>0</v>
      </c>
      <c r="N50" s="84">
        <f t="shared" si="12"/>
        <v>0</v>
      </c>
      <c r="O50" s="84">
        <f t="shared" si="12"/>
        <v>0</v>
      </c>
      <c r="P50" s="84">
        <f t="shared" si="12"/>
        <v>0</v>
      </c>
      <c r="Q50" s="84">
        <f t="shared" si="12"/>
        <v>0</v>
      </c>
      <c r="R50" s="84">
        <f t="shared" si="12"/>
        <v>0</v>
      </c>
      <c r="S50" s="84">
        <f t="shared" si="12"/>
        <v>0</v>
      </c>
      <c r="T50" s="85">
        <f t="shared" si="12"/>
        <v>0</v>
      </c>
    </row>
    <row r="52" spans="1:20" ht="19" x14ac:dyDescent="0.25">
      <c r="A52" s="75" t="s">
        <v>145</v>
      </c>
    </row>
    <row r="53" spans="1:20" x14ac:dyDescent="0.2">
      <c r="B53" s="92" t="s">
        <v>270</v>
      </c>
      <c r="C53" s="92"/>
      <c r="D53" s="92"/>
      <c r="E53" s="92"/>
      <c r="F53" s="92"/>
      <c r="G53" s="92"/>
    </row>
    <row r="54" spans="1:20" x14ac:dyDescent="0.2">
      <c r="B54" s="344" t="s">
        <v>125</v>
      </c>
      <c r="C54" s="345"/>
      <c r="D54" s="345"/>
      <c r="E54" s="345"/>
      <c r="F54" s="345"/>
      <c r="G54" s="346"/>
    </row>
    <row r="56" spans="1:20" x14ac:dyDescent="0.2">
      <c r="B56" s="92" t="s">
        <v>271</v>
      </c>
      <c r="C56" s="92"/>
      <c r="D56" s="92"/>
      <c r="E56" s="92"/>
      <c r="F56" s="92"/>
      <c r="G56" s="92"/>
    </row>
    <row r="57" spans="1:20" x14ac:dyDescent="0.2">
      <c r="B57" s="344" t="s">
        <v>125</v>
      </c>
      <c r="C57" s="345"/>
      <c r="D57" s="345"/>
      <c r="E57" s="345"/>
      <c r="F57" s="345"/>
      <c r="G57" s="346"/>
    </row>
  </sheetData>
  <mergeCells count="2">
    <mergeCell ref="B54:G54"/>
    <mergeCell ref="B57:G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E8581-8A1D-491F-8AB0-5E0ABD93A46F}">
  <sheetPr>
    <tabColor rgb="FFF8CBAD"/>
  </sheetPr>
  <dimension ref="A1:P47"/>
  <sheetViews>
    <sheetView showGridLines="0" zoomScaleNormal="100" workbookViewId="0"/>
  </sheetViews>
  <sheetFormatPr baseColWidth="10" defaultColWidth="8.83203125" defaultRowHeight="15" x14ac:dyDescent="0.2"/>
  <cols>
    <col min="1" max="1" width="1.6640625" customWidth="1"/>
    <col min="2" max="2" width="51.83203125" bestFit="1" customWidth="1"/>
    <col min="3" max="3" width="12.5" bestFit="1" customWidth="1"/>
    <col min="4" max="4" width="3" customWidth="1"/>
    <col min="5" max="8" width="12.5" bestFit="1" customWidth="1"/>
    <col min="9" max="10" width="17" bestFit="1" customWidth="1"/>
  </cols>
  <sheetData>
    <row r="1" spans="1:16" ht="31" x14ac:dyDescent="0.35">
      <c r="A1" s="7" t="s">
        <v>33</v>
      </c>
      <c r="I1" s="120" t="s">
        <v>81</v>
      </c>
      <c r="P1" s="1"/>
    </row>
    <row r="2" spans="1:16" ht="26" x14ac:dyDescent="0.3">
      <c r="A2" s="51" t="s">
        <v>34</v>
      </c>
      <c r="I2" s="53" t="s">
        <v>79</v>
      </c>
      <c r="P2" s="1"/>
    </row>
    <row r="3" spans="1:16" ht="21" x14ac:dyDescent="0.25">
      <c r="A3" s="52" t="str" cm="1">
        <f t="array" aca="1" ref="A3" ca="1">RIGHT(CELL("filename",E2),LEN(CELL("filename",E2))-FIND("]",CELL("filename",E2)))</f>
        <v>5. Historical Financials</v>
      </c>
      <c r="I3" s="54" t="s">
        <v>189</v>
      </c>
      <c r="P3" s="1"/>
    </row>
    <row r="4" spans="1:16" ht="19" x14ac:dyDescent="0.25">
      <c r="A4" s="75" t="str">
        <f>+'0. Instructions'!A4</f>
        <v>Clinic Site XYZ</v>
      </c>
      <c r="I4" s="55" t="s">
        <v>80</v>
      </c>
    </row>
    <row r="5" spans="1:16" ht="19" x14ac:dyDescent="0.25">
      <c r="A5" s="75"/>
    </row>
    <row r="6" spans="1:16" ht="19" x14ac:dyDescent="0.25">
      <c r="A6" s="75" t="s">
        <v>415</v>
      </c>
    </row>
    <row r="7" spans="1:16" ht="19" x14ac:dyDescent="0.25">
      <c r="A7" s="75" t="s">
        <v>424</v>
      </c>
    </row>
    <row r="8" spans="1:16" ht="19" x14ac:dyDescent="0.25">
      <c r="A8" s="75" t="s">
        <v>425</v>
      </c>
      <c r="B8" s="76"/>
      <c r="C8" s="76"/>
      <c r="D8" s="76"/>
      <c r="E8" s="76"/>
      <c r="F8" s="76"/>
      <c r="G8" s="76"/>
      <c r="H8" s="76"/>
    </row>
    <row r="9" spans="1:16" ht="19" x14ac:dyDescent="0.25">
      <c r="A9" s="75"/>
      <c r="C9" s="29" t="s">
        <v>338</v>
      </c>
      <c r="E9" s="29" t="s">
        <v>339</v>
      </c>
      <c r="F9" s="29"/>
      <c r="G9" s="29"/>
      <c r="H9" s="29"/>
    </row>
    <row r="10" spans="1:16" ht="19" x14ac:dyDescent="0.25">
      <c r="A10" s="4"/>
      <c r="B10" s="29" t="s">
        <v>35</v>
      </c>
      <c r="C10" s="29" t="s">
        <v>416</v>
      </c>
      <c r="E10" s="29" t="s">
        <v>376</v>
      </c>
      <c r="F10" s="29" t="s">
        <v>417</v>
      </c>
      <c r="G10" s="29" t="s">
        <v>418</v>
      </c>
      <c r="H10" s="29" t="s">
        <v>419</v>
      </c>
    </row>
    <row r="11" spans="1:16" x14ac:dyDescent="0.2">
      <c r="B11" s="6" t="s">
        <v>49</v>
      </c>
      <c r="C11" s="64">
        <f>+'2. Users, Visits, Revenue'!I20</f>
        <v>6382030.9999999991</v>
      </c>
      <c r="E11" s="64">
        <f>+$C11+'8. Care Team Simulation'!C144</f>
        <v>8662097.7702992614</v>
      </c>
      <c r="F11" s="64">
        <f>+$C11+'8. Care Team Simulation'!D144</f>
        <v>8730499.7734082397</v>
      </c>
      <c r="G11" s="64">
        <f>+$C11+'8. Care Team Simulation'!E144</f>
        <v>9378677.9567752294</v>
      </c>
      <c r="H11" s="64">
        <f>+$C11+'8. Care Team Simulation'!F144</f>
        <v>9468577.3654784858</v>
      </c>
    </row>
    <row r="12" spans="1:16" x14ac:dyDescent="0.2">
      <c r="B12" s="6" t="s">
        <v>52</v>
      </c>
      <c r="C12" s="14">
        <f>+'4. Incentive information'!C50</f>
        <v>147000</v>
      </c>
      <c r="E12" s="14">
        <f>$C12+'8. Care Team Simulation'!C131</f>
        <v>247940</v>
      </c>
      <c r="F12" s="14">
        <f>$C12+'8. Care Team Simulation'!D131</f>
        <v>250968.2</v>
      </c>
      <c r="G12" s="14">
        <f>$C12+'8. Care Team Simulation'!E131</f>
        <v>254087.24599999998</v>
      </c>
      <c r="H12" s="14">
        <f>$C12+'8. Care Team Simulation'!F131</f>
        <v>257299.86338</v>
      </c>
    </row>
    <row r="13" spans="1:16" x14ac:dyDescent="0.2">
      <c r="B13" s="6" t="s">
        <v>216</v>
      </c>
      <c r="C13" s="98">
        <v>0</v>
      </c>
      <c r="E13" s="98">
        <f>+'8. Care Team Simulation'!C132</f>
        <v>400000</v>
      </c>
      <c r="F13" s="98">
        <f>+'8. Care Team Simulation'!D132</f>
        <v>400000</v>
      </c>
      <c r="G13" s="98">
        <f>+'8. Care Team Simulation'!E132</f>
        <v>255000</v>
      </c>
      <c r="H13" s="98">
        <f>+'8. Care Team Simulation'!F132</f>
        <v>255000</v>
      </c>
    </row>
    <row r="14" spans="1:16" x14ac:dyDescent="0.2">
      <c r="B14" s="6" t="s">
        <v>236</v>
      </c>
      <c r="C14" s="61">
        <v>1500000</v>
      </c>
      <c r="E14" s="61">
        <v>1500000</v>
      </c>
      <c r="F14" s="61">
        <v>1300000</v>
      </c>
      <c r="G14" s="61">
        <v>1300000</v>
      </c>
      <c r="H14" s="61">
        <v>1300000</v>
      </c>
    </row>
    <row r="15" spans="1:16" x14ac:dyDescent="0.2">
      <c r="B15" s="6" t="s">
        <v>202</v>
      </c>
      <c r="C15" s="61">
        <v>100000</v>
      </c>
      <c r="E15" s="61">
        <v>100000</v>
      </c>
      <c r="F15" s="61">
        <v>100000</v>
      </c>
      <c r="G15" s="61">
        <v>100000</v>
      </c>
      <c r="H15" s="61">
        <v>100000</v>
      </c>
    </row>
    <row r="16" spans="1:16" x14ac:dyDescent="0.2">
      <c r="B16" s="6" t="s">
        <v>203</v>
      </c>
      <c r="C16" s="61">
        <v>200000</v>
      </c>
      <c r="E16" s="61">
        <v>200000</v>
      </c>
      <c r="F16" s="61">
        <v>200000</v>
      </c>
      <c r="G16" s="61">
        <v>200000</v>
      </c>
      <c r="H16" s="61">
        <v>200000</v>
      </c>
    </row>
    <row r="17" spans="2:9" x14ac:dyDescent="0.2">
      <c r="B17" s="6" t="s">
        <v>253</v>
      </c>
      <c r="C17" s="61">
        <v>25000</v>
      </c>
      <c r="E17" s="61">
        <v>25000</v>
      </c>
      <c r="F17" s="61">
        <v>25000</v>
      </c>
      <c r="G17" s="61">
        <v>25000</v>
      </c>
      <c r="H17" s="61">
        <v>25000</v>
      </c>
    </row>
    <row r="18" spans="2:9" x14ac:dyDescent="0.2">
      <c r="B18" s="238" t="s">
        <v>254</v>
      </c>
      <c r="C18" s="61">
        <v>0</v>
      </c>
      <c r="E18" s="61">
        <v>0</v>
      </c>
      <c r="F18" s="61">
        <v>0</v>
      </c>
      <c r="G18" s="61">
        <v>0</v>
      </c>
      <c r="H18" s="61">
        <v>0</v>
      </c>
    </row>
    <row r="19" spans="2:9" x14ac:dyDescent="0.2">
      <c r="B19" s="14" t="s">
        <v>255</v>
      </c>
      <c r="C19" s="61">
        <v>0</v>
      </c>
      <c r="E19" s="61">
        <v>0</v>
      </c>
      <c r="F19" s="61">
        <v>0</v>
      </c>
      <c r="G19" s="61">
        <v>0</v>
      </c>
      <c r="H19" s="61">
        <v>0</v>
      </c>
    </row>
    <row r="20" spans="2:9" x14ac:dyDescent="0.2">
      <c r="B20" s="14" t="s">
        <v>256</v>
      </c>
      <c r="C20" s="61">
        <v>0</v>
      </c>
      <c r="E20" s="61">
        <v>0</v>
      </c>
      <c r="F20" s="61">
        <v>0</v>
      </c>
      <c r="G20" s="61">
        <v>0</v>
      </c>
      <c r="H20" s="61">
        <v>0</v>
      </c>
    </row>
    <row r="21" spans="2:9" x14ac:dyDescent="0.2">
      <c r="B21" s="14" t="s">
        <v>257</v>
      </c>
      <c r="C21" s="61">
        <v>0</v>
      </c>
      <c r="E21" s="61">
        <v>0</v>
      </c>
      <c r="F21" s="61">
        <v>0</v>
      </c>
      <c r="G21" s="61">
        <v>0</v>
      </c>
      <c r="H21" s="61">
        <v>0</v>
      </c>
    </row>
    <row r="22" spans="2:9" x14ac:dyDescent="0.2">
      <c r="B22" s="14" t="s">
        <v>295</v>
      </c>
      <c r="C22" s="61">
        <v>0</v>
      </c>
      <c r="E22" s="61">
        <v>0</v>
      </c>
      <c r="F22" s="61">
        <v>0</v>
      </c>
      <c r="G22" s="61">
        <v>0</v>
      </c>
      <c r="H22" s="61">
        <v>0</v>
      </c>
    </row>
    <row r="23" spans="2:9" x14ac:dyDescent="0.2">
      <c r="B23" s="61" t="s">
        <v>53</v>
      </c>
      <c r="C23" s="61">
        <v>0</v>
      </c>
      <c r="E23" s="61">
        <v>0</v>
      </c>
      <c r="F23" s="61">
        <v>0</v>
      </c>
      <c r="G23" s="61">
        <v>0</v>
      </c>
      <c r="H23" s="61">
        <v>0</v>
      </c>
    </row>
    <row r="24" spans="2:9" x14ac:dyDescent="0.2">
      <c r="B24" s="61" t="s">
        <v>53</v>
      </c>
      <c r="C24" s="61">
        <v>0</v>
      </c>
      <c r="E24" s="61">
        <v>0</v>
      </c>
      <c r="F24" s="61">
        <v>0</v>
      </c>
      <c r="G24" s="61">
        <v>0</v>
      </c>
      <c r="H24" s="61">
        <v>0</v>
      </c>
    </row>
    <row r="25" spans="2:9" x14ac:dyDescent="0.2">
      <c r="B25" s="66" t="s">
        <v>53</v>
      </c>
      <c r="C25" s="66">
        <v>0</v>
      </c>
      <c r="E25" s="66">
        <v>0</v>
      </c>
      <c r="F25" s="66">
        <v>0</v>
      </c>
      <c r="G25" s="66">
        <v>0</v>
      </c>
      <c r="H25" s="66">
        <v>0</v>
      </c>
    </row>
    <row r="26" spans="2:9" x14ac:dyDescent="0.2">
      <c r="B26" s="67" t="s">
        <v>54</v>
      </c>
      <c r="C26" s="31">
        <f>+SUM(C11:C25)</f>
        <v>8354030.9999999991</v>
      </c>
      <c r="E26" s="31">
        <f>+SUM(E11:E25)</f>
        <v>11135037.770299261</v>
      </c>
      <c r="F26" s="31">
        <f t="shared" ref="F26:H26" si="0">+SUM(F11:F25)</f>
        <v>11006467.973408239</v>
      </c>
      <c r="G26" s="31">
        <f t="shared" si="0"/>
        <v>11512765.202775229</v>
      </c>
      <c r="H26" s="31">
        <f t="shared" si="0"/>
        <v>11605877.228858486</v>
      </c>
      <c r="I26" s="294"/>
    </row>
    <row r="28" spans="2:9" ht="17" x14ac:dyDescent="0.2">
      <c r="C28" s="29" t="s">
        <v>338</v>
      </c>
      <c r="E28" s="29" t="s">
        <v>339</v>
      </c>
      <c r="F28" s="29"/>
      <c r="G28" s="29"/>
      <c r="H28" s="29"/>
    </row>
    <row r="29" spans="2:9" ht="17" x14ac:dyDescent="0.2">
      <c r="B29" s="29" t="s">
        <v>36</v>
      </c>
      <c r="C29" s="29" t="s">
        <v>416</v>
      </c>
      <c r="E29" s="29" t="s">
        <v>376</v>
      </c>
      <c r="F29" s="29" t="s">
        <v>417</v>
      </c>
      <c r="G29" s="29" t="s">
        <v>418</v>
      </c>
      <c r="H29" s="29" t="s">
        <v>419</v>
      </c>
    </row>
    <row r="30" spans="2:9" x14ac:dyDescent="0.2">
      <c r="B30" s="238" t="s">
        <v>56</v>
      </c>
      <c r="C30" s="14">
        <f>+'1. Staffing and Salary Cost'!H41</f>
        <v>4529500</v>
      </c>
      <c r="E30" s="64">
        <f>+$C30+'8. Care Team Simulation'!C148+'8. Care Team Simulation'!C149</f>
        <v>6099000</v>
      </c>
      <c r="F30" s="64">
        <f>+$C30+'8. Care Team Simulation'!D148+'8. Care Team Simulation'!D149</f>
        <v>6208865</v>
      </c>
      <c r="G30" s="64">
        <f>+$C30+'8. Care Team Simulation'!E148+'8. Care Team Simulation'!E149</f>
        <v>6326420.5500000007</v>
      </c>
      <c r="H30" s="64">
        <f>+$C30+'8. Care Team Simulation'!F148+'8. Care Team Simulation'!F149</f>
        <v>6452204.9885000009</v>
      </c>
    </row>
    <row r="31" spans="2:9" x14ac:dyDescent="0.2">
      <c r="B31" s="14" t="s">
        <v>423</v>
      </c>
      <c r="C31" s="14">
        <f>+'3. Administrative Costs'!C15+'3. Administrative Costs'!C14+'3. Administrative Costs'!C11</f>
        <v>3791250</v>
      </c>
      <c r="E31" s="14">
        <f>+$C31+'8. Care Team Simulation'!C150+'8. Care Team Simulation'!C151</f>
        <v>4404201.4864864862</v>
      </c>
      <c r="F31" s="14">
        <f>+$C31+'8. Care Team Simulation'!D150+'8. Care Team Simulation'!D151</f>
        <v>4416460.5162162166</v>
      </c>
      <c r="G31" s="14">
        <f>+$C31+'8. Care Team Simulation'!E150+'8. Care Team Simulation'!E151</f>
        <v>4428964.7265405403</v>
      </c>
      <c r="H31" s="14">
        <f>+$C31+'8. Care Team Simulation'!F150+'8. Care Team Simulation'!F151</f>
        <v>4441719.0210713511</v>
      </c>
    </row>
    <row r="32" spans="2:9" x14ac:dyDescent="0.2">
      <c r="B32" s="14" t="s">
        <v>212</v>
      </c>
      <c r="C32" s="14">
        <v>0</v>
      </c>
      <c r="E32" s="14">
        <f>+'8. Care Team Simulation'!C152</f>
        <v>245000</v>
      </c>
      <c r="F32" s="14">
        <f>+'8. Care Team Simulation'!D152</f>
        <v>262150</v>
      </c>
      <c r="G32" s="14">
        <f>+'8. Care Team Simulation'!E152</f>
        <v>280500.5</v>
      </c>
      <c r="H32" s="14">
        <f>+'8. Care Team Simulation'!F152</f>
        <v>300135.53499999997</v>
      </c>
    </row>
    <row r="33" spans="1:10" x14ac:dyDescent="0.2">
      <c r="B33" s="14" t="s">
        <v>214</v>
      </c>
      <c r="C33" s="14">
        <v>0</v>
      </c>
      <c r="E33" s="98">
        <f>+'8. Care Team Simulation'!C153</f>
        <v>300000</v>
      </c>
      <c r="F33" s="98">
        <f>+'8. Care Team Simulation'!D153</f>
        <v>321000</v>
      </c>
      <c r="G33" s="98">
        <f>+'8. Care Team Simulation'!E153</f>
        <v>343470</v>
      </c>
      <c r="H33" s="98">
        <f>+'8. Care Team Simulation'!F153</f>
        <v>367512.9</v>
      </c>
    </row>
    <row r="34" spans="1:10" x14ac:dyDescent="0.2">
      <c r="B34" s="63" t="s">
        <v>55</v>
      </c>
      <c r="C34" s="63">
        <v>0</v>
      </c>
      <c r="E34" s="61">
        <v>0</v>
      </c>
      <c r="F34" s="61">
        <v>0</v>
      </c>
      <c r="G34" s="61">
        <v>0</v>
      </c>
      <c r="H34" s="61">
        <v>0</v>
      </c>
    </row>
    <row r="35" spans="1:10" x14ac:dyDescent="0.2">
      <c r="B35" s="61" t="s">
        <v>55</v>
      </c>
      <c r="C35" s="61">
        <v>0</v>
      </c>
      <c r="E35" s="61">
        <v>0</v>
      </c>
      <c r="F35" s="61">
        <v>0</v>
      </c>
      <c r="G35" s="61">
        <v>0</v>
      </c>
      <c r="H35" s="61">
        <v>0</v>
      </c>
    </row>
    <row r="36" spans="1:10" x14ac:dyDescent="0.2">
      <c r="B36" s="61" t="s">
        <v>55</v>
      </c>
      <c r="C36" s="61">
        <v>0</v>
      </c>
      <c r="E36" s="61">
        <v>0</v>
      </c>
      <c r="F36" s="61">
        <v>0</v>
      </c>
      <c r="G36" s="61">
        <v>0</v>
      </c>
      <c r="H36" s="61">
        <v>0</v>
      </c>
    </row>
    <row r="37" spans="1:10" x14ac:dyDescent="0.2">
      <c r="B37" s="61" t="s">
        <v>55</v>
      </c>
      <c r="C37" s="61">
        <v>0</v>
      </c>
      <c r="E37" s="61">
        <v>0</v>
      </c>
      <c r="F37" s="61">
        <v>0</v>
      </c>
      <c r="G37" s="61">
        <v>0</v>
      </c>
      <c r="H37" s="61">
        <v>0</v>
      </c>
    </row>
    <row r="38" spans="1:10" x14ac:dyDescent="0.2">
      <c r="B38" s="66" t="s">
        <v>55</v>
      </c>
      <c r="C38" s="66">
        <v>0</v>
      </c>
      <c r="E38" s="66">
        <v>0</v>
      </c>
      <c r="F38" s="66">
        <v>0</v>
      </c>
      <c r="G38" s="66">
        <v>0</v>
      </c>
      <c r="H38" s="66">
        <v>0</v>
      </c>
    </row>
    <row r="39" spans="1:10" x14ac:dyDescent="0.2">
      <c r="B39" s="67" t="s">
        <v>304</v>
      </c>
      <c r="C39" s="31">
        <f>SUM(C30:C38)</f>
        <v>8320750</v>
      </c>
      <c r="E39" s="31">
        <f>SUM(E30:E38)</f>
        <v>11048201.486486487</v>
      </c>
      <c r="F39" s="31">
        <f>SUM(F30:F38)</f>
        <v>11208475.516216217</v>
      </c>
      <c r="G39" s="31">
        <f>SUM(G30:G38)</f>
        <v>11379355.77654054</v>
      </c>
      <c r="H39" s="31">
        <f>SUM(H30:H38)</f>
        <v>11561572.444571352</v>
      </c>
      <c r="I39" s="294"/>
      <c r="J39" s="294"/>
    </row>
    <row r="40" spans="1:10" x14ac:dyDescent="0.2">
      <c r="B40" s="186"/>
      <c r="C40" s="188"/>
      <c r="D40" s="188"/>
      <c r="E40" s="188"/>
      <c r="I40" s="294"/>
    </row>
    <row r="41" spans="1:10" ht="19" x14ac:dyDescent="0.25">
      <c r="A41" s="75"/>
      <c r="C41" s="29" t="s">
        <v>414</v>
      </c>
      <c r="E41" s="29" t="s">
        <v>339</v>
      </c>
      <c r="F41" s="29"/>
      <c r="G41" s="29"/>
      <c r="H41" s="29"/>
    </row>
    <row r="42" spans="1:10" ht="17" x14ac:dyDescent="0.2">
      <c r="B42" s="29" t="s">
        <v>68</v>
      </c>
      <c r="C42" s="29" t="s">
        <v>416</v>
      </c>
      <c r="E42" s="29" t="s">
        <v>376</v>
      </c>
      <c r="F42" s="29" t="s">
        <v>417</v>
      </c>
      <c r="G42" s="29" t="s">
        <v>418</v>
      </c>
      <c r="H42" s="29" t="s">
        <v>419</v>
      </c>
    </row>
    <row r="43" spans="1:10" x14ac:dyDescent="0.2">
      <c r="B43" s="322" t="s">
        <v>68</v>
      </c>
      <c r="C43" s="323">
        <f>+C26-C39</f>
        <v>33280.999999999069</v>
      </c>
      <c r="E43" s="323">
        <f>+E26-E39</f>
        <v>86836.283812774345</v>
      </c>
      <c r="F43" s="323">
        <f>+F26-F39</f>
        <v>-202007.54280797765</v>
      </c>
      <c r="G43" s="323">
        <f>+G26-G39</f>
        <v>133409.42623468861</v>
      </c>
      <c r="H43" s="323">
        <f>+H26-H39</f>
        <v>44304.784287134185</v>
      </c>
    </row>
    <row r="44" spans="1:10" ht="19" x14ac:dyDescent="0.25">
      <c r="C44" s="75"/>
      <c r="D44" s="211"/>
    </row>
    <row r="45" spans="1:10" ht="19" x14ac:dyDescent="0.25">
      <c r="A45" s="75" t="s">
        <v>204</v>
      </c>
    </row>
    <row r="46" spans="1:10" ht="16" x14ac:dyDescent="0.2">
      <c r="B46" s="318" t="s">
        <v>422</v>
      </c>
      <c r="C46" s="319"/>
    </row>
    <row r="47" spans="1:10" ht="16" x14ac:dyDescent="0.2">
      <c r="B47" s="320" t="s">
        <v>125</v>
      </c>
      <c r="C47" s="3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2670-FACE-4F90-BDC2-47EC346B868E}">
  <sheetPr>
    <tabColor rgb="FFF8CBAD"/>
  </sheetPr>
  <dimension ref="A1:O53"/>
  <sheetViews>
    <sheetView showGridLines="0" zoomScale="115" zoomScaleNormal="115" workbookViewId="0"/>
  </sheetViews>
  <sheetFormatPr baseColWidth="10" defaultColWidth="8.83203125" defaultRowHeight="15" x14ac:dyDescent="0.2"/>
  <cols>
    <col min="1" max="1" width="4.1640625" customWidth="1"/>
    <col min="2" max="2" width="46" customWidth="1"/>
    <col min="3" max="10" width="16.33203125" customWidth="1"/>
  </cols>
  <sheetData>
    <row r="1" spans="1:15" ht="31" x14ac:dyDescent="0.35">
      <c r="A1" s="7" t="s">
        <v>33</v>
      </c>
      <c r="E1" s="120" t="s">
        <v>81</v>
      </c>
      <c r="O1" s="1"/>
    </row>
    <row r="2" spans="1:15" ht="26" x14ac:dyDescent="0.3">
      <c r="A2" s="51" t="s">
        <v>34</v>
      </c>
      <c r="E2" s="53" t="s">
        <v>79</v>
      </c>
      <c r="O2" s="1"/>
    </row>
    <row r="3" spans="1:15" ht="21" x14ac:dyDescent="0.25">
      <c r="A3" s="52" t="str" cm="1">
        <f t="array" aca="1" ref="A3" ca="1">RIGHT(CELL("filename",D2),LEN(CELL("filename",D2))-FIND("]",CELL("filename",D2)))</f>
        <v>6. PHMI Expense and Grants</v>
      </c>
      <c r="E3" s="54" t="s">
        <v>189</v>
      </c>
      <c r="O3" s="1"/>
    </row>
    <row r="4" spans="1:15" ht="19" x14ac:dyDescent="0.25">
      <c r="A4" s="75" t="str">
        <f>+'0. Instructions'!A4</f>
        <v>Clinic Site XYZ</v>
      </c>
      <c r="E4" s="55" t="s">
        <v>80</v>
      </c>
    </row>
    <row r="6" spans="1:15" ht="19" x14ac:dyDescent="0.25">
      <c r="A6" s="75" t="s">
        <v>209</v>
      </c>
    </row>
    <row r="8" spans="1:15" ht="19" x14ac:dyDescent="0.25">
      <c r="A8" s="75" t="s">
        <v>215</v>
      </c>
    </row>
    <row r="9" spans="1:15" ht="16" x14ac:dyDescent="0.2">
      <c r="B9" s="100" t="s">
        <v>216</v>
      </c>
      <c r="C9" s="100" t="s">
        <v>218</v>
      </c>
      <c r="D9" s="100" t="s">
        <v>219</v>
      </c>
      <c r="E9" s="100" t="s">
        <v>220</v>
      </c>
      <c r="F9" s="100" t="s">
        <v>221</v>
      </c>
    </row>
    <row r="10" spans="1:15" x14ac:dyDescent="0.2">
      <c r="B10" s="6" t="s">
        <v>140</v>
      </c>
      <c r="C10" s="61">
        <v>200000</v>
      </c>
      <c r="D10" s="61">
        <v>300000</v>
      </c>
      <c r="E10" s="61">
        <v>205000</v>
      </c>
      <c r="F10" s="61">
        <v>205000</v>
      </c>
    </row>
    <row r="11" spans="1:15" x14ac:dyDescent="0.2">
      <c r="B11" s="6" t="s">
        <v>205</v>
      </c>
      <c r="C11" s="61">
        <v>200000</v>
      </c>
      <c r="D11" s="61">
        <v>100000</v>
      </c>
      <c r="E11" s="61">
        <v>50000</v>
      </c>
      <c r="F11" s="61">
        <v>50000</v>
      </c>
    </row>
    <row r="12" spans="1:15" x14ac:dyDescent="0.2">
      <c r="B12" s="61" t="s">
        <v>217</v>
      </c>
      <c r="C12" s="61">
        <v>0</v>
      </c>
      <c r="D12" s="61">
        <v>0</v>
      </c>
      <c r="E12" s="61">
        <v>0</v>
      </c>
      <c r="F12" s="61">
        <v>0</v>
      </c>
    </row>
    <row r="13" spans="1:15" x14ac:dyDescent="0.2">
      <c r="B13" s="61" t="s">
        <v>217</v>
      </c>
      <c r="C13" s="61">
        <v>0</v>
      </c>
      <c r="D13" s="61">
        <v>0</v>
      </c>
      <c r="E13" s="61">
        <v>0</v>
      </c>
      <c r="F13" s="61">
        <v>0</v>
      </c>
    </row>
    <row r="14" spans="1:15" ht="16" x14ac:dyDescent="0.2">
      <c r="B14" s="189" t="s">
        <v>3</v>
      </c>
      <c r="C14" s="190">
        <f>SUM(C10:C13)</f>
        <v>400000</v>
      </c>
      <c r="D14" s="190">
        <f>SUM(D10:D13)</f>
        <v>400000</v>
      </c>
      <c r="E14" s="190">
        <f>SUM(E10:E13)</f>
        <v>255000</v>
      </c>
      <c r="F14" s="190">
        <f>SUM(F10:F13)</f>
        <v>255000</v>
      </c>
    </row>
    <row r="15" spans="1:15" x14ac:dyDescent="0.2">
      <c r="B15" s="97" t="s">
        <v>206</v>
      </c>
      <c r="C15" s="215"/>
      <c r="D15" s="215"/>
      <c r="E15" s="215"/>
      <c r="F15" s="215"/>
    </row>
    <row r="16" spans="1:15" x14ac:dyDescent="0.2">
      <c r="B16" s="97" t="s">
        <v>207</v>
      </c>
      <c r="C16" s="215"/>
      <c r="D16" s="215"/>
      <c r="E16" s="215"/>
      <c r="F16" s="215"/>
    </row>
    <row r="17" spans="1:6" x14ac:dyDescent="0.2">
      <c r="B17" s="214"/>
      <c r="C17" s="215"/>
      <c r="D17" s="215"/>
      <c r="E17" s="215"/>
      <c r="F17" s="215"/>
    </row>
    <row r="18" spans="1:6" ht="19" x14ac:dyDescent="0.25">
      <c r="A18" s="75" t="s">
        <v>210</v>
      </c>
    </row>
    <row r="19" spans="1:6" ht="32" x14ac:dyDescent="0.2">
      <c r="B19" s="100" t="s">
        <v>212</v>
      </c>
      <c r="C19" s="100" t="s">
        <v>99</v>
      </c>
      <c r="D19" s="100" t="s">
        <v>94</v>
      </c>
      <c r="E19" s="100" t="s">
        <v>93</v>
      </c>
      <c r="F19" s="100" t="s">
        <v>92</v>
      </c>
    </row>
    <row r="20" spans="1:6" x14ac:dyDescent="0.2">
      <c r="B20" s="6" t="s">
        <v>98</v>
      </c>
      <c r="C20" s="61">
        <v>75000</v>
      </c>
      <c r="D20" s="61">
        <f>+C20*(1+'2. Users, Visits, Revenue'!D$50)</f>
        <v>80250</v>
      </c>
      <c r="E20" s="61">
        <f>+D20*(1+'2. Users, Visits, Revenue'!E$50)</f>
        <v>85867.5</v>
      </c>
      <c r="F20" s="61">
        <f>+E20*(1+'2. Users, Visits, Revenue'!F$50)</f>
        <v>91878.225000000006</v>
      </c>
    </row>
    <row r="21" spans="1:6" x14ac:dyDescent="0.2">
      <c r="B21" s="6" t="s">
        <v>97</v>
      </c>
      <c r="C21" s="61">
        <v>50000</v>
      </c>
      <c r="D21" s="61">
        <f>+C21*(1+'2. Users, Visits, Revenue'!D$50)</f>
        <v>53500</v>
      </c>
      <c r="E21" s="61">
        <f>+D21*(1+'2. Users, Visits, Revenue'!E$50)</f>
        <v>57245</v>
      </c>
      <c r="F21" s="61">
        <f>+E21*(1+'2. Users, Visits, Revenue'!F$50)</f>
        <v>61252.15</v>
      </c>
    </row>
    <row r="22" spans="1:6" x14ac:dyDescent="0.2">
      <c r="B22" s="6" t="s">
        <v>96</v>
      </c>
      <c r="C22" s="61">
        <v>20000</v>
      </c>
      <c r="D22" s="61">
        <f>+C22*(1+'2. Users, Visits, Revenue'!D$50)</f>
        <v>21400</v>
      </c>
      <c r="E22" s="61">
        <f>+D22*(1+'2. Users, Visits, Revenue'!E$50)</f>
        <v>22898</v>
      </c>
      <c r="F22" s="61">
        <f>+E22*(1+'2. Users, Visits, Revenue'!F$50)</f>
        <v>24500.86</v>
      </c>
    </row>
    <row r="23" spans="1:6" x14ac:dyDescent="0.2">
      <c r="B23" s="6" t="s">
        <v>95</v>
      </c>
      <c r="C23" s="61">
        <v>100000</v>
      </c>
      <c r="D23" s="61">
        <f>+C23*(1+'2. Users, Visits, Revenue'!D$50)</f>
        <v>107000</v>
      </c>
      <c r="E23" s="61">
        <f>+D23*(1+'2. Users, Visits, Revenue'!E$50)</f>
        <v>114490</v>
      </c>
      <c r="F23" s="61">
        <f>+E23*(1+'2. Users, Visits, Revenue'!F$50)</f>
        <v>122504.3</v>
      </c>
    </row>
    <row r="24" spans="1:6" x14ac:dyDescent="0.2">
      <c r="B24" s="61" t="s">
        <v>55</v>
      </c>
      <c r="C24" s="61">
        <v>0</v>
      </c>
      <c r="D24" s="61">
        <v>0</v>
      </c>
      <c r="E24" s="61">
        <v>0</v>
      </c>
      <c r="F24" s="61">
        <v>0</v>
      </c>
    </row>
    <row r="25" spans="1:6" x14ac:dyDescent="0.2">
      <c r="B25" s="61" t="s">
        <v>55</v>
      </c>
      <c r="C25" s="61">
        <v>0</v>
      </c>
      <c r="D25" s="61">
        <v>0</v>
      </c>
      <c r="E25" s="61">
        <v>0</v>
      </c>
      <c r="F25" s="61">
        <v>0</v>
      </c>
    </row>
    <row r="26" spans="1:6" x14ac:dyDescent="0.2">
      <c r="B26" s="61" t="s">
        <v>55</v>
      </c>
      <c r="C26" s="61">
        <v>0</v>
      </c>
      <c r="D26" s="61">
        <v>0</v>
      </c>
      <c r="E26" s="61">
        <v>0</v>
      </c>
      <c r="F26" s="61">
        <v>0</v>
      </c>
    </row>
    <row r="27" spans="1:6" x14ac:dyDescent="0.2">
      <c r="B27" s="61" t="s">
        <v>55</v>
      </c>
      <c r="C27" s="61">
        <v>0</v>
      </c>
      <c r="D27" s="61">
        <v>0</v>
      </c>
      <c r="E27" s="61">
        <v>0</v>
      </c>
      <c r="F27" s="61">
        <v>0</v>
      </c>
    </row>
    <row r="28" spans="1:6" ht="16" x14ac:dyDescent="0.2">
      <c r="B28" s="189" t="s">
        <v>3</v>
      </c>
      <c r="C28" s="190">
        <f>SUM(C20:C27)</f>
        <v>245000</v>
      </c>
      <c r="D28" s="190">
        <f>SUM(D20:D27)</f>
        <v>262150</v>
      </c>
      <c r="E28" s="190">
        <f>SUM(E20:E27)</f>
        <v>280500.5</v>
      </c>
      <c r="F28" s="190">
        <f>SUM(F20:F27)</f>
        <v>300135.53499999997</v>
      </c>
    </row>
    <row r="30" spans="1:6" ht="19" x14ac:dyDescent="0.25">
      <c r="A30" s="75" t="s">
        <v>211</v>
      </c>
    </row>
    <row r="31" spans="1:6" ht="64" x14ac:dyDescent="0.2">
      <c r="B31" s="100" t="s">
        <v>213</v>
      </c>
      <c r="C31" s="100" t="s">
        <v>37</v>
      </c>
      <c r="D31" s="100" t="s">
        <v>128</v>
      </c>
      <c r="E31" s="100" t="s">
        <v>86</v>
      </c>
      <c r="F31" s="100" t="s">
        <v>129</v>
      </c>
    </row>
    <row r="32" spans="1:6" x14ac:dyDescent="0.2">
      <c r="B32" s="24" t="s">
        <v>335</v>
      </c>
      <c r="C32" s="33">
        <v>1</v>
      </c>
      <c r="D32" s="63">
        <v>150000</v>
      </c>
      <c r="E32" s="96">
        <v>0.2</v>
      </c>
      <c r="F32" s="64">
        <f>+D32*(1+E32)</f>
        <v>180000</v>
      </c>
    </row>
    <row r="33" spans="1:10" x14ac:dyDescent="0.2">
      <c r="B33" s="6" t="s">
        <v>336</v>
      </c>
      <c r="C33" s="15">
        <v>1</v>
      </c>
      <c r="D33" s="61">
        <v>100000</v>
      </c>
      <c r="E33" s="8">
        <v>0.2</v>
      </c>
      <c r="F33" s="14">
        <f>+D33*(1+E33)</f>
        <v>120000</v>
      </c>
    </row>
    <row r="34" spans="1:10" x14ac:dyDescent="0.2">
      <c r="B34" s="61" t="s">
        <v>130</v>
      </c>
      <c r="C34" s="15"/>
      <c r="D34" s="61"/>
      <c r="E34" s="8"/>
      <c r="F34" s="14">
        <f>+D34*(1+E34)</f>
        <v>0</v>
      </c>
    </row>
    <row r="35" spans="1:10" x14ac:dyDescent="0.2">
      <c r="B35" s="61" t="s">
        <v>130</v>
      </c>
      <c r="C35" s="15"/>
      <c r="D35" s="61"/>
      <c r="E35" s="8"/>
      <c r="F35" s="14">
        <f>+D35*(1+E35)</f>
        <v>0</v>
      </c>
    </row>
    <row r="36" spans="1:10" x14ac:dyDescent="0.2">
      <c r="B36" s="61" t="s">
        <v>130</v>
      </c>
      <c r="C36" s="15"/>
      <c r="D36" s="61"/>
      <c r="E36" s="8"/>
      <c r="F36" s="14">
        <f>+D36*(1+E36)</f>
        <v>0</v>
      </c>
    </row>
    <row r="37" spans="1:10" ht="16" x14ac:dyDescent="0.2">
      <c r="B37" s="100" t="s">
        <v>3</v>
      </c>
      <c r="C37" s="191">
        <f>SUM(C32:C36)</f>
        <v>2</v>
      </c>
      <c r="D37" s="101"/>
      <c r="E37" s="100"/>
      <c r="F37" s="101">
        <f>SUM(F32:F36)</f>
        <v>300000</v>
      </c>
    </row>
    <row r="38" spans="1:10" x14ac:dyDescent="0.2">
      <c r="B38" s="110"/>
      <c r="C38" s="212"/>
      <c r="D38" s="213"/>
      <c r="E38" s="110"/>
      <c r="F38" s="213"/>
      <c r="G38" s="213"/>
      <c r="H38" s="213"/>
      <c r="I38" s="213"/>
      <c r="J38" s="213"/>
    </row>
    <row r="39" spans="1:10" ht="32" x14ac:dyDescent="0.2">
      <c r="B39" s="100" t="s">
        <v>173</v>
      </c>
      <c r="C39" s="100" t="s">
        <v>99</v>
      </c>
      <c r="D39" s="100" t="s">
        <v>94</v>
      </c>
      <c r="E39" s="100" t="s">
        <v>93</v>
      </c>
      <c r="F39" s="100" t="s">
        <v>92</v>
      </c>
      <c r="G39" s="213"/>
      <c r="H39" s="213"/>
      <c r="I39" s="213"/>
      <c r="J39" s="213"/>
    </row>
    <row r="40" spans="1:10" x14ac:dyDescent="0.2">
      <c r="B40" s="6" t="str">
        <f>+B32</f>
        <v>Program director</v>
      </c>
      <c r="C40" s="64">
        <f>+C32*F32</f>
        <v>180000</v>
      </c>
      <c r="D40" s="64">
        <f>+C40*(1+'2. Users, Visits, Revenue'!D$50)</f>
        <v>192600</v>
      </c>
      <c r="E40" s="64">
        <f>+D40*(1+'2. Users, Visits, Revenue'!E$50)</f>
        <v>206082</v>
      </c>
      <c r="F40" s="64">
        <f>+E40*(1+'2. Users, Visits, Revenue'!F$50)</f>
        <v>220507.74000000002</v>
      </c>
      <c r="G40" s="213"/>
      <c r="H40" s="213"/>
      <c r="I40" s="213"/>
      <c r="J40" s="213"/>
    </row>
    <row r="41" spans="1:10" x14ac:dyDescent="0.2">
      <c r="B41" s="6" t="str">
        <f>+B33</f>
        <v>Analyst</v>
      </c>
      <c r="C41" s="14">
        <f>+C33*F33</f>
        <v>120000</v>
      </c>
      <c r="D41" s="14">
        <f>+C41*(1+'2. Users, Visits, Revenue'!D$50)</f>
        <v>128400.00000000001</v>
      </c>
      <c r="E41" s="14">
        <f>+D41*(1+'2. Users, Visits, Revenue'!E$50)</f>
        <v>137388.00000000003</v>
      </c>
      <c r="F41" s="14">
        <f>+E41*(1+'2. Users, Visits, Revenue'!F$50)</f>
        <v>147005.16000000003</v>
      </c>
      <c r="G41" s="213"/>
      <c r="H41" s="213"/>
      <c r="I41" s="213"/>
      <c r="J41" s="213"/>
    </row>
    <row r="42" spans="1:10" x14ac:dyDescent="0.2">
      <c r="B42" s="6" t="str">
        <f>+B34</f>
        <v>Other Write-in</v>
      </c>
      <c r="C42" s="14">
        <f>+C34*F34</f>
        <v>0</v>
      </c>
      <c r="D42" s="14">
        <f>+C42*(1+'2. Users, Visits, Revenue'!D$50)</f>
        <v>0</v>
      </c>
      <c r="E42" s="14">
        <f>+D42*(1+'2. Users, Visits, Revenue'!E$50)</f>
        <v>0</v>
      </c>
      <c r="F42" s="14">
        <f>+E42*(1+'2. Users, Visits, Revenue'!F$50)</f>
        <v>0</v>
      </c>
      <c r="G42" s="213"/>
      <c r="H42" s="213"/>
      <c r="I42" s="213"/>
      <c r="J42" s="213"/>
    </row>
    <row r="43" spans="1:10" x14ac:dyDescent="0.2">
      <c r="B43" s="6" t="str">
        <f>+B35</f>
        <v>Other Write-in</v>
      </c>
      <c r="C43" s="14">
        <f>+C35*F35</f>
        <v>0</v>
      </c>
      <c r="D43" s="14">
        <f>+C43*(1+'2. Users, Visits, Revenue'!D$50)</f>
        <v>0</v>
      </c>
      <c r="E43" s="14">
        <f>+D43*(1+'2. Users, Visits, Revenue'!E$50)</f>
        <v>0</v>
      </c>
      <c r="F43" s="14">
        <f>+E43*(1+'2. Users, Visits, Revenue'!F$50)</f>
        <v>0</v>
      </c>
      <c r="G43" s="213"/>
      <c r="H43" s="213"/>
      <c r="I43" s="213"/>
      <c r="J43" s="213"/>
    </row>
    <row r="44" spans="1:10" x14ac:dyDescent="0.2">
      <c r="B44" s="6" t="str">
        <f>+B36</f>
        <v>Other Write-in</v>
      </c>
      <c r="C44" s="14">
        <f>+C36*F36</f>
        <v>0</v>
      </c>
      <c r="D44" s="14">
        <f>+C44*(1+'2. Users, Visits, Revenue'!D$50)</f>
        <v>0</v>
      </c>
      <c r="E44" s="14">
        <f>+D44*(1+'2. Users, Visits, Revenue'!E$50)</f>
        <v>0</v>
      </c>
      <c r="F44" s="14">
        <f>+E44*(1+'2. Users, Visits, Revenue'!F$50)</f>
        <v>0</v>
      </c>
      <c r="G44" s="213"/>
      <c r="H44" s="213"/>
      <c r="I44" s="213"/>
      <c r="J44" s="213"/>
    </row>
    <row r="45" spans="1:10" ht="16" x14ac:dyDescent="0.2">
      <c r="B45" s="100" t="s">
        <v>3</v>
      </c>
      <c r="C45" s="101">
        <f>SUM(C40:C44)</f>
        <v>300000</v>
      </c>
      <c r="D45" s="101">
        <f>SUM(D40:D44)</f>
        <v>321000</v>
      </c>
      <c r="E45" s="101">
        <f>SUM(E40:E44)</f>
        <v>343470</v>
      </c>
      <c r="F45" s="101">
        <f>SUM(F40:F44)</f>
        <v>367512.9</v>
      </c>
      <c r="G45" s="213"/>
      <c r="H45" s="213"/>
      <c r="I45" s="213"/>
      <c r="J45" s="213"/>
    </row>
    <row r="46" spans="1:10" x14ac:dyDescent="0.2">
      <c r="B46" s="110"/>
      <c r="C46" s="212"/>
      <c r="D46" s="213"/>
      <c r="E46" s="110"/>
      <c r="F46" s="213"/>
      <c r="G46" s="213"/>
      <c r="H46" s="213"/>
      <c r="I46" s="213"/>
      <c r="J46" s="213"/>
    </row>
    <row r="47" spans="1:10" ht="20" thickBot="1" x14ac:dyDescent="0.3">
      <c r="A47" s="75" t="s">
        <v>305</v>
      </c>
      <c r="B47" s="110"/>
      <c r="C47" s="212"/>
      <c r="D47" s="213"/>
      <c r="E47" s="110"/>
      <c r="F47" s="213"/>
      <c r="G47" s="213"/>
      <c r="H47" s="213"/>
      <c r="I47" s="213"/>
      <c r="J47" s="213"/>
    </row>
    <row r="48" spans="1:10" ht="32" x14ac:dyDescent="0.2">
      <c r="B48" s="295" t="s">
        <v>329</v>
      </c>
      <c r="C48" s="296" t="s">
        <v>307</v>
      </c>
      <c r="D48" s="296" t="s">
        <v>308</v>
      </c>
      <c r="E48" s="296" t="s">
        <v>309</v>
      </c>
      <c r="F48" s="297" t="s">
        <v>310</v>
      </c>
      <c r="G48" s="213"/>
      <c r="H48" s="213"/>
      <c r="I48" s="213"/>
      <c r="J48" s="213"/>
    </row>
    <row r="49" spans="2:10" x14ac:dyDescent="0.2">
      <c r="B49" s="298" t="s">
        <v>306</v>
      </c>
      <c r="C49" s="14">
        <f>+C14</f>
        <v>400000</v>
      </c>
      <c r="D49" s="14">
        <f>+D14</f>
        <v>400000</v>
      </c>
      <c r="E49" s="14">
        <f>+E14</f>
        <v>255000</v>
      </c>
      <c r="F49" s="252">
        <f>+F14</f>
        <v>255000</v>
      </c>
      <c r="G49" s="213"/>
      <c r="H49" s="213"/>
      <c r="I49" s="213"/>
      <c r="J49" s="213"/>
    </row>
    <row r="50" spans="2:10" x14ac:dyDescent="0.2">
      <c r="B50" s="298" t="s">
        <v>312</v>
      </c>
      <c r="C50" s="14">
        <f>+-C28</f>
        <v>-245000</v>
      </c>
      <c r="D50" s="14">
        <f>+-D28</f>
        <v>-262150</v>
      </c>
      <c r="E50" s="14">
        <f>+-E28</f>
        <v>-280500.5</v>
      </c>
      <c r="F50" s="252">
        <f>+-F28</f>
        <v>-300135.53499999997</v>
      </c>
      <c r="G50" s="213"/>
      <c r="H50" s="213"/>
      <c r="I50" s="213"/>
      <c r="J50" s="213"/>
    </row>
    <row r="51" spans="2:10" x14ac:dyDescent="0.2">
      <c r="B51" s="298" t="s">
        <v>313</v>
      </c>
      <c r="C51" s="14">
        <f>+-C45</f>
        <v>-300000</v>
      </c>
      <c r="D51" s="14">
        <f>+-D45</f>
        <v>-321000</v>
      </c>
      <c r="E51" s="14">
        <f>+-E45</f>
        <v>-343470</v>
      </c>
      <c r="F51" s="252">
        <f>+-F45</f>
        <v>-367512.9</v>
      </c>
      <c r="G51" s="213"/>
      <c r="H51" s="213"/>
      <c r="I51" s="213"/>
      <c r="J51" s="213"/>
    </row>
    <row r="52" spans="2:10" ht="17" thickBot="1" x14ac:dyDescent="0.25">
      <c r="B52" s="299" t="s">
        <v>311</v>
      </c>
      <c r="C52" s="300">
        <f>SUM(C49:C51)</f>
        <v>-145000</v>
      </c>
      <c r="D52" s="300">
        <f>SUM(D49:D51)</f>
        <v>-183150</v>
      </c>
      <c r="E52" s="300">
        <f>SUM(E49:E51)</f>
        <v>-368970.5</v>
      </c>
      <c r="F52" s="301">
        <f>SUM(F49:F51)</f>
        <v>-412648.435</v>
      </c>
      <c r="G52" s="213"/>
      <c r="H52" s="213"/>
      <c r="I52" s="213"/>
      <c r="J52" s="213"/>
    </row>
    <row r="53" spans="2:10" x14ac:dyDescent="0.2">
      <c r="B53" s="110"/>
      <c r="C53" s="212"/>
      <c r="D53" s="213"/>
      <c r="E53" s="110"/>
      <c r="F53" s="213"/>
      <c r="G53" s="213"/>
      <c r="H53" s="213"/>
      <c r="I53" s="213"/>
      <c r="J53" s="2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D4DD-7F68-40D3-8BBE-22E1719E089B}">
  <sheetPr>
    <tabColor rgb="FFC6E0B4"/>
  </sheetPr>
  <dimension ref="A1:N28"/>
  <sheetViews>
    <sheetView showGridLines="0" zoomScaleNormal="100" workbookViewId="0"/>
  </sheetViews>
  <sheetFormatPr baseColWidth="10" defaultColWidth="8.83203125" defaultRowHeight="15" x14ac:dyDescent="0.2"/>
  <cols>
    <col min="1" max="1" width="1.6640625" customWidth="1"/>
    <col min="2" max="2" width="64" bestFit="1" customWidth="1"/>
    <col min="3" max="4" width="28.33203125" customWidth="1"/>
    <col min="5" max="5" width="28.33203125" hidden="1" customWidth="1"/>
    <col min="6" max="6" width="15.6640625" customWidth="1"/>
    <col min="7" max="7" width="28.33203125" customWidth="1"/>
  </cols>
  <sheetData>
    <row r="1" spans="1:14" ht="31" x14ac:dyDescent="0.35">
      <c r="A1" s="7" t="s">
        <v>33</v>
      </c>
      <c r="D1" s="120" t="s">
        <v>81</v>
      </c>
      <c r="N1" s="1"/>
    </row>
    <row r="2" spans="1:14" ht="26" x14ac:dyDescent="0.3">
      <c r="A2" s="51" t="s">
        <v>34</v>
      </c>
      <c r="D2" s="53" t="s">
        <v>79</v>
      </c>
      <c r="N2" s="1"/>
    </row>
    <row r="3" spans="1:14" ht="21" x14ac:dyDescent="0.25">
      <c r="A3" s="52" t="str" cm="1">
        <f t="array" aca="1" ref="A3" ca="1">RIGHT(CELL("filename",D2),LEN(CELL("filename",D2))-FIND("]",CELL("filename",D2)))</f>
        <v>7. PHMI Care Team Example</v>
      </c>
      <c r="D3" s="54" t="s">
        <v>189</v>
      </c>
      <c r="N3" s="1"/>
    </row>
    <row r="4" spans="1:14" ht="19" x14ac:dyDescent="0.25">
      <c r="A4" s="75" t="str">
        <f>+'0. Instructions'!A4</f>
        <v>Clinic Site XYZ</v>
      </c>
      <c r="D4" s="55" t="s">
        <v>80</v>
      </c>
    </row>
    <row r="5" spans="1:14" ht="24" x14ac:dyDescent="0.3">
      <c r="A5" s="3"/>
      <c r="C5" t="s">
        <v>57</v>
      </c>
    </row>
    <row r="6" spans="1:14" ht="19" x14ac:dyDescent="0.25">
      <c r="A6" s="75" t="s">
        <v>356</v>
      </c>
    </row>
    <row r="7" spans="1:14" ht="17" x14ac:dyDescent="0.2">
      <c r="B7" s="29" t="s">
        <v>360</v>
      </c>
      <c r="C7" s="23"/>
      <c r="D7" s="23"/>
      <c r="E7" s="23"/>
    </row>
    <row r="8" spans="1:14" ht="68" x14ac:dyDescent="0.2">
      <c r="B8" s="5" t="s">
        <v>0</v>
      </c>
      <c r="C8" s="5" t="s">
        <v>62</v>
      </c>
      <c r="D8" s="5" t="s">
        <v>83</v>
      </c>
      <c r="E8" s="5" t="s">
        <v>172</v>
      </c>
    </row>
    <row r="9" spans="1:14" x14ac:dyDescent="0.2">
      <c r="B9" s="115" t="str">
        <f>+'1. Staffing and Salary Cost'!$B$9</f>
        <v>CORE TEAM MEMBERS</v>
      </c>
      <c r="C9" s="57"/>
      <c r="D9" s="58"/>
      <c r="E9" s="57"/>
    </row>
    <row r="10" spans="1:14" x14ac:dyDescent="0.2">
      <c r="B10" s="24" t="str">
        <f>+'1. Staffing and Salary Cost'!$B$10</f>
        <v>Physician (MD/DO)</v>
      </c>
      <c r="C10" s="102">
        <v>1250</v>
      </c>
      <c r="D10" s="103"/>
      <c r="E10" s="102">
        <v>3750</v>
      </c>
    </row>
    <row r="11" spans="1:14" x14ac:dyDescent="0.2">
      <c r="B11" s="6" t="str">
        <f>+'1. Staffing and Salary Cost'!$B$11</f>
        <v>Nurse Practitioner (NP)</v>
      </c>
      <c r="C11" s="32">
        <v>1250</v>
      </c>
      <c r="D11" s="59"/>
      <c r="E11" s="32">
        <v>3750</v>
      </c>
    </row>
    <row r="12" spans="1:14" ht="16" thickBot="1" x14ac:dyDescent="0.25">
      <c r="B12" s="30" t="str">
        <f>+'1. Staffing and Salary Cost'!$B$12</f>
        <v>Physician Assistant (PA)</v>
      </c>
      <c r="C12" s="56">
        <v>1250</v>
      </c>
      <c r="D12" s="60"/>
      <c r="E12" s="56">
        <v>3750</v>
      </c>
    </row>
    <row r="13" spans="1:14" ht="17" thickTop="1" x14ac:dyDescent="0.2">
      <c r="B13" s="118" t="str">
        <f>+'1. Staffing and Salary Cost'!$B$13</f>
        <v>PCP subtotal</v>
      </c>
      <c r="C13" s="119">
        <v>1250</v>
      </c>
      <c r="D13" s="204">
        <f t="shared" ref="D13" si="0">+IF($C$13=0,0,C13/$C$13)</f>
        <v>1</v>
      </c>
      <c r="E13" s="119">
        <v>3750</v>
      </c>
    </row>
    <row r="14" spans="1:14" x14ac:dyDescent="0.2">
      <c r="B14" s="6" t="str">
        <f>+'1. Staffing and Salary Cost'!$B$14</f>
        <v>BH Provider (LCSW/MFT or other)</v>
      </c>
      <c r="C14" s="32">
        <f>+$D$13/D14*$C$13</f>
        <v>2500</v>
      </c>
      <c r="D14" s="74">
        <v>0.5</v>
      </c>
      <c r="E14" s="32">
        <v>2400</v>
      </c>
    </row>
    <row r="15" spans="1:14" x14ac:dyDescent="0.2">
      <c r="B15" s="6" t="str">
        <f>+'1. Staffing and Salary Cost'!$B$15</f>
        <v>Medical Assistant (MA)</v>
      </c>
      <c r="C15" s="32">
        <f t="shared" ref="C15:C28" si="1">+$D$13/D15*$C$13</f>
        <v>1250</v>
      </c>
      <c r="D15" s="74">
        <v>1</v>
      </c>
      <c r="E15" s="37">
        <v>0</v>
      </c>
    </row>
    <row r="16" spans="1:14" x14ac:dyDescent="0.2">
      <c r="B16" s="116" t="str">
        <f>+'1. Staffing and Salary Cost'!$B$16</f>
        <v>Community Health Worker (CHW)/Peer Support</v>
      </c>
      <c r="C16" s="117">
        <f t="shared" si="1"/>
        <v>2500</v>
      </c>
      <c r="D16" s="205">
        <v>0.5</v>
      </c>
      <c r="E16" s="105">
        <v>0</v>
      </c>
    </row>
    <row r="17" spans="2:5" x14ac:dyDescent="0.2">
      <c r="B17" s="115" t="str">
        <f>+'1. Staffing and Salary Cost'!$B$18</f>
        <v>EXPANDED TEAM MEMBERS</v>
      </c>
      <c r="C17" s="57"/>
      <c r="D17" s="58"/>
      <c r="E17" s="57"/>
    </row>
    <row r="18" spans="2:5" x14ac:dyDescent="0.2">
      <c r="B18" s="24" t="str">
        <f>+'1. Staffing and Salary Cost'!$B$19</f>
        <v>Clinical Psychologist</v>
      </c>
      <c r="C18" s="102">
        <f t="shared" si="1"/>
        <v>12500</v>
      </c>
      <c r="D18" s="206">
        <v>0.1</v>
      </c>
      <c r="E18" s="102">
        <v>2400</v>
      </c>
    </row>
    <row r="19" spans="2:5" x14ac:dyDescent="0.2">
      <c r="B19" s="6" t="str">
        <f>+'1. Staffing and Salary Cost'!$B$20</f>
        <v>Triage Nurse and Clinic Oversight (RN/LVN)</v>
      </c>
      <c r="C19" s="32">
        <f t="shared" si="1"/>
        <v>8333.3333333333339</v>
      </c>
      <c r="D19" s="74">
        <v>0.15</v>
      </c>
      <c r="E19" s="37">
        <v>0</v>
      </c>
    </row>
    <row r="20" spans="2:5" x14ac:dyDescent="0.2">
      <c r="B20" s="6" t="str">
        <f>+'1. Staffing and Salary Cost'!$B$21</f>
        <v>Clinical Pharmacist</v>
      </c>
      <c r="C20" s="32">
        <f t="shared" si="1"/>
        <v>12500</v>
      </c>
      <c r="D20" s="74">
        <v>0.1</v>
      </c>
      <c r="E20" s="37">
        <v>0</v>
      </c>
    </row>
    <row r="21" spans="2:5" x14ac:dyDescent="0.2">
      <c r="B21" s="6" t="str">
        <f>+'1. Staffing and Salary Cost'!$B$22</f>
        <v xml:space="preserve">Psychiatrist or Psychiatric Mental Health Nurse Practitioner </v>
      </c>
      <c r="C21" s="32">
        <f t="shared" si="1"/>
        <v>12500</v>
      </c>
      <c r="D21" s="74">
        <v>0.1</v>
      </c>
      <c r="E21" s="37">
        <v>0</v>
      </c>
    </row>
    <row r="22" spans="2:5" x14ac:dyDescent="0.2">
      <c r="B22" s="6" t="str">
        <f>+'1. Staffing and Salary Cost'!$B$23</f>
        <v>QI Lead</v>
      </c>
      <c r="C22" s="32">
        <f t="shared" si="1"/>
        <v>41666.666666666672</v>
      </c>
      <c r="D22" s="74">
        <v>0.03</v>
      </c>
      <c r="E22" s="37">
        <v>0</v>
      </c>
    </row>
    <row r="23" spans="2:5" x14ac:dyDescent="0.2">
      <c r="B23" s="6" t="str">
        <f>+'1. Staffing and Salary Cost'!$B$24</f>
        <v>Panel Manager/Data Analyst</v>
      </c>
      <c r="C23" s="32">
        <f t="shared" si="1"/>
        <v>12500</v>
      </c>
      <c r="D23" s="74">
        <v>0.1</v>
      </c>
      <c r="E23" s="37">
        <v>0</v>
      </c>
    </row>
    <row r="24" spans="2:5" x14ac:dyDescent="0.2">
      <c r="B24" s="6" t="str">
        <f>+'1. Staffing and Salary Cost'!$B$25</f>
        <v xml:space="preserve">Self Management Support &amp; Certified health education specialist (CHES) </v>
      </c>
      <c r="C24" s="32">
        <f t="shared" si="1"/>
        <v>12500</v>
      </c>
      <c r="D24" s="74">
        <v>0.1</v>
      </c>
      <c r="E24" s="37">
        <v>0</v>
      </c>
    </row>
    <row r="25" spans="2:5" x14ac:dyDescent="0.2">
      <c r="B25" s="6" t="str">
        <f>+'1. Staffing and Salary Cost'!$B$26</f>
        <v>Population Health Specialist (MA)</v>
      </c>
      <c r="C25" s="32">
        <f t="shared" si="1"/>
        <v>12500</v>
      </c>
      <c r="D25" s="74">
        <v>0.1</v>
      </c>
      <c r="E25" s="37">
        <v>0</v>
      </c>
    </row>
    <row r="26" spans="2:5" x14ac:dyDescent="0.2">
      <c r="B26" s="6" t="str">
        <f>+'1. Staffing and Salary Cost'!$B$27</f>
        <v>QI Data Analyst</v>
      </c>
      <c r="C26" s="32">
        <f t="shared" si="1"/>
        <v>12500</v>
      </c>
      <c r="D26" s="74">
        <v>0.1</v>
      </c>
      <c r="E26" s="37">
        <v>0</v>
      </c>
    </row>
    <row r="27" spans="2:5" x14ac:dyDescent="0.2">
      <c r="B27" s="6" t="str">
        <f>+'1. Staffing and Salary Cost'!$B$28</f>
        <v>Care Manager/ Program oversight</v>
      </c>
      <c r="C27" s="32">
        <f t="shared" si="1"/>
        <v>3787.878787878788</v>
      </c>
      <c r="D27" s="74">
        <v>0.33</v>
      </c>
      <c r="E27" s="37">
        <v>0</v>
      </c>
    </row>
    <row r="28" spans="2:5" x14ac:dyDescent="0.2">
      <c r="B28" s="25" t="str">
        <f>+'1. Staffing and Salary Cost'!$B$29</f>
        <v>Referral Management/Care Coordinator (MA / layperson / patient navigator)</v>
      </c>
      <c r="C28" s="104">
        <f t="shared" si="1"/>
        <v>12500</v>
      </c>
      <c r="D28" s="207">
        <v>0.1</v>
      </c>
      <c r="E28" s="105">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52B-6D2A-4DDD-B919-9C26653B8125}">
  <sheetPr>
    <tabColor rgb="FFFFFF99"/>
  </sheetPr>
  <dimension ref="A1:M207"/>
  <sheetViews>
    <sheetView showGridLines="0" zoomScale="70" zoomScaleNormal="70" workbookViewId="0"/>
  </sheetViews>
  <sheetFormatPr baseColWidth="10" defaultColWidth="8.83203125" defaultRowHeight="15" x14ac:dyDescent="0.2"/>
  <cols>
    <col min="1" max="1" width="1.6640625" customWidth="1"/>
    <col min="2" max="2" width="60.83203125" customWidth="1"/>
    <col min="3" max="17" width="19.5" customWidth="1"/>
    <col min="18" max="18" width="22.33203125" bestFit="1" customWidth="1"/>
    <col min="19" max="19" width="19.5" customWidth="1"/>
  </cols>
  <sheetData>
    <row r="1" spans="1:8" ht="31" x14ac:dyDescent="0.35">
      <c r="A1" s="7" t="s">
        <v>33</v>
      </c>
      <c r="E1" s="120" t="s">
        <v>81</v>
      </c>
    </row>
    <row r="2" spans="1:8" ht="26" x14ac:dyDescent="0.3">
      <c r="A2" s="51" t="s">
        <v>34</v>
      </c>
      <c r="E2" s="53" t="s">
        <v>79</v>
      </c>
    </row>
    <row r="3" spans="1:8" ht="21" x14ac:dyDescent="0.25">
      <c r="A3" s="52" t="str" cm="1">
        <f t="array" aca="1" ref="A3" ca="1">RIGHT(CELL("filename",D2),LEN(CELL("filename",D2))-FIND("]",CELL("filename",D2)))</f>
        <v>8. Care Team Simulation</v>
      </c>
      <c r="E3" s="54" t="s">
        <v>189</v>
      </c>
    </row>
    <row r="4" spans="1:8" ht="19" x14ac:dyDescent="0.25">
      <c r="A4" s="75" t="str">
        <f>+'0. Instructions'!A4</f>
        <v>Clinic Site XYZ</v>
      </c>
      <c r="E4" s="55" t="s">
        <v>80</v>
      </c>
    </row>
    <row r="5" spans="1:8" ht="19" x14ac:dyDescent="0.25">
      <c r="A5" s="75"/>
    </row>
    <row r="6" spans="1:8" ht="19" x14ac:dyDescent="0.25">
      <c r="A6" s="75" t="s">
        <v>357</v>
      </c>
    </row>
    <row r="7" spans="1:8" ht="19" x14ac:dyDescent="0.25">
      <c r="A7" s="75" t="s">
        <v>228</v>
      </c>
    </row>
    <row r="8" spans="1:8" ht="19" x14ac:dyDescent="0.25">
      <c r="A8" s="75" t="s">
        <v>222</v>
      </c>
    </row>
    <row r="9" spans="1:8" ht="21" x14ac:dyDescent="0.25">
      <c r="A9" s="52"/>
    </row>
    <row r="10" spans="1:8" ht="19" x14ac:dyDescent="0.25">
      <c r="A10" s="75" t="s">
        <v>227</v>
      </c>
    </row>
    <row r="11" spans="1:8" ht="34" x14ac:dyDescent="0.25">
      <c r="A11" s="52"/>
      <c r="C11" s="29" t="s">
        <v>226</v>
      </c>
      <c r="D11" s="29"/>
      <c r="E11" s="29" t="s">
        <v>358</v>
      </c>
      <c r="F11" s="29"/>
      <c r="G11" s="29" t="s">
        <v>370</v>
      </c>
      <c r="H11" s="29"/>
    </row>
    <row r="12" spans="1:8" ht="68" x14ac:dyDescent="0.25">
      <c r="A12" s="52"/>
      <c r="B12" s="5" t="s">
        <v>0</v>
      </c>
      <c r="C12" s="221" t="s">
        <v>225</v>
      </c>
      <c r="D12" s="221" t="s">
        <v>223</v>
      </c>
      <c r="E12" s="5" t="s">
        <v>232</v>
      </c>
      <c r="F12" s="221" t="s">
        <v>371</v>
      </c>
      <c r="G12" s="221" t="s">
        <v>225</v>
      </c>
      <c r="H12" s="221" t="s">
        <v>223</v>
      </c>
    </row>
    <row r="13" spans="1:8" ht="21" x14ac:dyDescent="0.25">
      <c r="A13" s="52"/>
      <c r="B13" s="236" t="str">
        <f>+'1. Staffing and Salary Cost'!$B$9</f>
        <v>CORE TEAM MEMBERS</v>
      </c>
      <c r="C13" s="121"/>
      <c r="D13" s="121"/>
      <c r="E13" s="58"/>
      <c r="F13" s="58"/>
      <c r="G13" s="121"/>
      <c r="H13" s="121"/>
    </row>
    <row r="14" spans="1:8" ht="14.5" customHeight="1" x14ac:dyDescent="0.25">
      <c r="A14" s="52"/>
      <c r="B14" s="24" t="str">
        <f>+'1. Staffing and Salary Cost'!$B$10</f>
        <v>Physician (MD/DO)</v>
      </c>
      <c r="C14" s="103"/>
      <c r="D14" s="11">
        <f>+INDEX('1. Staffing and Salary Cost'!$D$9:$D$39,MATCH($B14,'1. Staffing and Salary Cost'!$B$9:$B$39,0))</f>
        <v>5</v>
      </c>
      <c r="E14" s="103"/>
      <c r="F14" s="103"/>
      <c r="G14" s="103"/>
      <c r="H14" s="103"/>
    </row>
    <row r="15" spans="1:8" ht="14.5" customHeight="1" x14ac:dyDescent="0.25">
      <c r="A15" s="52"/>
      <c r="B15" s="6" t="str">
        <f>+'1. Staffing and Salary Cost'!$B$11</f>
        <v>Nurse Practitioner (NP)</v>
      </c>
      <c r="C15" s="59"/>
      <c r="D15" s="11">
        <f>+INDEX('1. Staffing and Salary Cost'!$D$9:$D$39,MATCH($B15,'1. Staffing and Salary Cost'!$B$9:$B$39,0))</f>
        <v>3</v>
      </c>
      <c r="E15" s="59"/>
      <c r="F15" s="59"/>
      <c r="G15" s="59"/>
      <c r="H15" s="59"/>
    </row>
    <row r="16" spans="1:8" ht="14.5" customHeight="1" thickBot="1" x14ac:dyDescent="0.3">
      <c r="A16" s="52"/>
      <c r="B16" s="30" t="str">
        <f>+'1. Staffing and Salary Cost'!$B$12</f>
        <v>Physician Assistant (PA)</v>
      </c>
      <c r="C16" s="60"/>
      <c r="D16" s="108">
        <f>+INDEX('1. Staffing and Salary Cost'!$D$9:$D$39,MATCH($B16,'1. Staffing and Salary Cost'!$B$9:$B$39,0))</f>
        <v>2</v>
      </c>
      <c r="E16" s="60"/>
      <c r="F16" s="60"/>
      <c r="G16" s="60"/>
      <c r="H16" s="60"/>
    </row>
    <row r="17" spans="1:8" ht="14.5" customHeight="1" thickTop="1" x14ac:dyDescent="0.25">
      <c r="A17" s="52"/>
      <c r="B17" s="266" t="str">
        <f>+'1. Staffing and Salary Cost'!$B$13</f>
        <v>PCP subtotal</v>
      </c>
      <c r="C17" s="267">
        <f>+IF($D$17=0,0,D17/$D$17)</f>
        <v>1</v>
      </c>
      <c r="D17" s="267">
        <f>+INDEX('1. Staffing and Salary Cost'!$D$9:$D$39,MATCH($B17,'1. Staffing and Salary Cost'!$B$9:$B$39,0))</f>
        <v>10</v>
      </c>
      <c r="E17" s="267">
        <f>+INDEX('7. PHMI Care Team Example'!$D$10:$D$28,MATCH($B17,'7. PHMI Care Team Example'!$B$10:$B$28,0))</f>
        <v>1</v>
      </c>
      <c r="F17" s="267">
        <f>+E17*$D$17</f>
        <v>10</v>
      </c>
      <c r="G17" s="267">
        <f t="shared" ref="G17:H20" si="0">+C17-E17</f>
        <v>0</v>
      </c>
      <c r="H17" s="267">
        <f t="shared" si="0"/>
        <v>0</v>
      </c>
    </row>
    <row r="18" spans="1:8" ht="14.5" customHeight="1" x14ac:dyDescent="0.25">
      <c r="A18" s="52"/>
      <c r="B18" s="6" t="str">
        <f>+'1. Staffing and Salary Cost'!$B$14</f>
        <v>BH Provider (LCSW/MFT or other)</v>
      </c>
      <c r="C18" s="11">
        <f>+IF($D$17=0,0,D18/$D$17)</f>
        <v>0.1</v>
      </c>
      <c r="D18" s="11">
        <f>+INDEX('1. Staffing and Salary Cost'!$D$9:$D$39,MATCH($B18,'1. Staffing and Salary Cost'!$B$9:$B$39,0))</f>
        <v>1</v>
      </c>
      <c r="E18" s="74">
        <f>+INDEX('7. PHMI Care Team Example'!$D$10:$D$28,MATCH($B18,'7. PHMI Care Team Example'!$B$10:$B$28,0))</f>
        <v>0.5</v>
      </c>
      <c r="F18" s="74">
        <f>+E18*$D$17</f>
        <v>5</v>
      </c>
      <c r="G18" s="11">
        <f t="shared" si="0"/>
        <v>-0.4</v>
      </c>
      <c r="H18" s="11">
        <f t="shared" si="0"/>
        <v>-4</v>
      </c>
    </row>
    <row r="19" spans="1:8" ht="14.5" customHeight="1" x14ac:dyDescent="0.25">
      <c r="A19" s="52"/>
      <c r="B19" s="6" t="str">
        <f>+'1. Staffing and Salary Cost'!$B$15</f>
        <v>Medical Assistant (MA)</v>
      </c>
      <c r="C19" s="11">
        <f>+IF($D$17=0,0,D19/$D$17)</f>
        <v>1</v>
      </c>
      <c r="D19" s="11">
        <f>+INDEX('1. Staffing and Salary Cost'!$D$9:$D$39,MATCH($B19,'1. Staffing and Salary Cost'!$B$9:$B$39,0))</f>
        <v>10</v>
      </c>
      <c r="E19" s="74">
        <f>+INDEX('7. PHMI Care Team Example'!$D$10:$D$28,MATCH($B19,'7. PHMI Care Team Example'!$B$10:$B$28,0))</f>
        <v>1</v>
      </c>
      <c r="F19" s="74">
        <f>+E19*$D$17</f>
        <v>10</v>
      </c>
      <c r="G19" s="11">
        <f t="shared" si="0"/>
        <v>0</v>
      </c>
      <c r="H19" s="11">
        <f t="shared" si="0"/>
        <v>0</v>
      </c>
    </row>
    <row r="20" spans="1:8" ht="14.5" customHeight="1" thickBot="1" x14ac:dyDescent="0.3">
      <c r="A20" s="52"/>
      <c r="B20" s="279" t="str">
        <f>+'1. Staffing and Salary Cost'!$B$16</f>
        <v>Community Health Worker (CHW)/Peer Support</v>
      </c>
      <c r="C20" s="108">
        <f>+IF($D$17=0,0,D20/$D$17)</f>
        <v>0.1</v>
      </c>
      <c r="D20" s="108">
        <f>+INDEX('1. Staffing and Salary Cost'!$D$9:$D$39,MATCH($B20,'1. Staffing and Salary Cost'!$B$9:$B$39,0))</f>
        <v>1</v>
      </c>
      <c r="E20" s="280">
        <f>+INDEX('7. PHMI Care Team Example'!$D$10:$D$28,MATCH($B20,'7. PHMI Care Team Example'!$B$10:$B$28,0))</f>
        <v>0.5</v>
      </c>
      <c r="F20" s="280">
        <f>+E20*$D$17</f>
        <v>5</v>
      </c>
      <c r="G20" s="108">
        <f t="shared" si="0"/>
        <v>-0.4</v>
      </c>
      <c r="H20" s="108">
        <f t="shared" si="0"/>
        <v>-4</v>
      </c>
    </row>
    <row r="21" spans="1:8" ht="17" thickTop="1" x14ac:dyDescent="0.2">
      <c r="B21" s="269" t="s">
        <v>299</v>
      </c>
      <c r="C21" s="270">
        <f>+SUM(C17:C20)</f>
        <v>2.2000000000000002</v>
      </c>
      <c r="D21" s="270">
        <f>+SUM(D17:D20)</f>
        <v>22</v>
      </c>
      <c r="E21" s="270">
        <f t="shared" ref="E21:F21" si="1">+SUM(E17:E20)</f>
        <v>3</v>
      </c>
      <c r="F21" s="270">
        <f t="shared" si="1"/>
        <v>30</v>
      </c>
      <c r="G21" s="270">
        <f>+SUM(G17:G20)</f>
        <v>-0.8</v>
      </c>
      <c r="H21" s="270">
        <f>+SUM(H17:H20)</f>
        <v>-8</v>
      </c>
    </row>
    <row r="22" spans="1:8" ht="21" x14ac:dyDescent="0.25">
      <c r="A22" s="52"/>
      <c r="B22" s="236" t="str">
        <f>+'1. Staffing and Salary Cost'!$B$18</f>
        <v>EXPANDED TEAM MEMBERS</v>
      </c>
      <c r="C22" s="125"/>
      <c r="D22" s="125"/>
      <c r="E22" s="58"/>
      <c r="F22" s="58"/>
      <c r="G22" s="125"/>
      <c r="H22" s="125"/>
    </row>
    <row r="23" spans="1:8" ht="14.5" customHeight="1" x14ac:dyDescent="0.25">
      <c r="A23" s="52"/>
      <c r="B23" s="24" t="str">
        <f>+'1. Staffing and Salary Cost'!$B$19</f>
        <v>Clinical Psychologist</v>
      </c>
      <c r="C23" s="11">
        <f>+IF($D$17=0,0,D23/$D$17)</f>
        <v>0.2</v>
      </c>
      <c r="D23" s="11">
        <f>+INDEX('1. Staffing and Salary Cost'!$D$9:$D$39,MATCH($B23,'1. Staffing and Salary Cost'!$B$9:$B$39,0))</f>
        <v>2</v>
      </c>
      <c r="E23" s="206">
        <f>+INDEX('7. PHMI Care Team Example'!$D$10:$D$28,MATCH($B23,'7. PHMI Care Team Example'!$B$10:$B$28,0))</f>
        <v>0.1</v>
      </c>
      <c r="F23" s="206">
        <f t="shared" ref="F23:F32" si="2">+E23*$D$17</f>
        <v>1</v>
      </c>
      <c r="G23" s="11">
        <f t="shared" ref="G23:G32" si="3">+C23-E23</f>
        <v>0.1</v>
      </c>
      <c r="H23" s="11">
        <f t="shared" ref="H23:H32" si="4">+D23-F23</f>
        <v>1</v>
      </c>
    </row>
    <row r="24" spans="1:8" ht="14.5" customHeight="1" x14ac:dyDescent="0.25">
      <c r="A24" s="52"/>
      <c r="B24" s="6" t="str">
        <f>+'1. Staffing and Salary Cost'!$B$20</f>
        <v>Triage Nurse and Clinic Oversight (RN/LVN)</v>
      </c>
      <c r="C24" s="11">
        <f>+IF($D$17=0,0,D24/$D$17)</f>
        <v>0.2</v>
      </c>
      <c r="D24" s="11">
        <f>+INDEX('1. Staffing and Salary Cost'!$D$9:$D$39,MATCH($B24,'1. Staffing and Salary Cost'!$B$9:$B$39,0))</f>
        <v>2</v>
      </c>
      <c r="E24" s="74">
        <f>+INDEX('7. PHMI Care Team Example'!$D$10:$D$28,MATCH($B24,'7. PHMI Care Team Example'!$B$10:$B$28,0))</f>
        <v>0.15</v>
      </c>
      <c r="F24" s="74">
        <f t="shared" si="2"/>
        <v>1.5</v>
      </c>
      <c r="G24" s="11">
        <f t="shared" si="3"/>
        <v>5.0000000000000017E-2</v>
      </c>
      <c r="H24" s="11">
        <f t="shared" si="4"/>
        <v>0.5</v>
      </c>
    </row>
    <row r="25" spans="1:8" ht="14.5" customHeight="1" x14ac:dyDescent="0.25">
      <c r="A25" s="52"/>
      <c r="B25" s="6" t="str">
        <f>+'1. Staffing and Salary Cost'!$B$21</f>
        <v>Clinical Pharmacist</v>
      </c>
      <c r="C25" s="11">
        <f>+IF($D$17=0,0,D25/$D$17)</f>
        <v>0</v>
      </c>
      <c r="D25" s="11">
        <f>+INDEX('1. Staffing and Salary Cost'!$D$9:$D$39,MATCH($B25,'1. Staffing and Salary Cost'!$B$9:$B$39,0))</f>
        <v>0</v>
      </c>
      <c r="E25" s="74">
        <f>+INDEX('7. PHMI Care Team Example'!$D$10:$D$28,MATCH($B25,'7. PHMI Care Team Example'!$B$10:$B$28,0))</f>
        <v>0.1</v>
      </c>
      <c r="F25" s="74">
        <f t="shared" si="2"/>
        <v>1</v>
      </c>
      <c r="G25" s="11">
        <f t="shared" si="3"/>
        <v>-0.1</v>
      </c>
      <c r="H25" s="11">
        <f t="shared" si="4"/>
        <v>-1</v>
      </c>
    </row>
    <row r="26" spans="1:8" ht="14.5" customHeight="1" x14ac:dyDescent="0.25">
      <c r="A26" s="52"/>
      <c r="B26" s="6" t="str">
        <f>+'1. Staffing and Salary Cost'!$B$22</f>
        <v xml:space="preserve">Psychiatrist or Psychiatric Mental Health Nurse Practitioner </v>
      </c>
      <c r="C26" s="11">
        <f>+IF($D$17=0,0,D26/$D$17)</f>
        <v>0</v>
      </c>
      <c r="D26" s="11">
        <f>+INDEX('1. Staffing and Salary Cost'!$D$9:$D$39,MATCH($B26,'1. Staffing and Salary Cost'!$B$9:$B$39,0))</f>
        <v>0</v>
      </c>
      <c r="E26" s="74">
        <f>+INDEX('7. PHMI Care Team Example'!$D$10:$D$28,MATCH($B26,'7. PHMI Care Team Example'!$B$10:$B$28,0))</f>
        <v>0.1</v>
      </c>
      <c r="F26" s="74">
        <f t="shared" si="2"/>
        <v>1</v>
      </c>
      <c r="G26" s="11">
        <f t="shared" ref="G26" si="5">+C26-E26</f>
        <v>-0.1</v>
      </c>
      <c r="H26" s="11">
        <f t="shared" ref="H26" si="6">+D26-F26</f>
        <v>-1</v>
      </c>
    </row>
    <row r="27" spans="1:8" ht="14.5" customHeight="1" x14ac:dyDescent="0.25">
      <c r="A27" s="52"/>
      <c r="B27" s="6" t="str">
        <f>+'1. Staffing and Salary Cost'!$B$23</f>
        <v>QI Lead</v>
      </c>
      <c r="C27" s="11">
        <f t="shared" ref="C27:C43" si="7">+IF($D$17=0,0,D27/$D$17)</f>
        <v>0</v>
      </c>
      <c r="D27" s="11">
        <f>+INDEX('1. Staffing and Salary Cost'!$D$9:$D$39,MATCH($B27,'1. Staffing and Salary Cost'!$B$9:$B$39,0))</f>
        <v>0</v>
      </c>
      <c r="E27" s="74">
        <f>+INDEX('7. PHMI Care Team Example'!$D$10:$D$28,MATCH($B27,'7. PHMI Care Team Example'!$B$10:$B$28,0))</f>
        <v>0.03</v>
      </c>
      <c r="F27" s="74">
        <f t="shared" si="2"/>
        <v>0.3</v>
      </c>
      <c r="G27" s="11">
        <f t="shared" si="3"/>
        <v>-0.03</v>
      </c>
      <c r="H27" s="11">
        <f t="shared" si="4"/>
        <v>-0.3</v>
      </c>
    </row>
    <row r="28" spans="1:8" ht="14.5" customHeight="1" x14ac:dyDescent="0.25">
      <c r="A28" s="52"/>
      <c r="B28" s="6" t="str">
        <f>+'1. Staffing and Salary Cost'!$B$24</f>
        <v>Panel Manager/Data Analyst</v>
      </c>
      <c r="C28" s="11">
        <f t="shared" si="7"/>
        <v>0</v>
      </c>
      <c r="D28" s="11">
        <f>+INDEX('1. Staffing and Salary Cost'!$D$9:$D$39,MATCH($B28,'1. Staffing and Salary Cost'!$B$9:$B$39,0))</f>
        <v>0</v>
      </c>
      <c r="E28" s="74">
        <f>+INDEX('7. PHMI Care Team Example'!$D$10:$D$28,MATCH($B28,'7. PHMI Care Team Example'!$B$10:$B$28,0))</f>
        <v>0.1</v>
      </c>
      <c r="F28" s="74">
        <f t="shared" si="2"/>
        <v>1</v>
      </c>
      <c r="G28" s="11">
        <f t="shared" si="3"/>
        <v>-0.1</v>
      </c>
      <c r="H28" s="11">
        <f t="shared" si="4"/>
        <v>-1</v>
      </c>
    </row>
    <row r="29" spans="1:8" ht="14.5" customHeight="1" x14ac:dyDescent="0.25">
      <c r="A29" s="52"/>
      <c r="B29" s="6" t="str">
        <f>+'1. Staffing and Salary Cost'!$B$25</f>
        <v xml:space="preserve">Self Management Support &amp; Certified health education specialist (CHES) </v>
      </c>
      <c r="C29" s="11">
        <f t="shared" si="7"/>
        <v>0</v>
      </c>
      <c r="D29" s="11">
        <f>+INDEX('1. Staffing and Salary Cost'!$D$9:$D$39,MATCH($B29,'1. Staffing and Salary Cost'!$B$9:$B$39,0))</f>
        <v>0</v>
      </c>
      <c r="E29" s="74">
        <f>+INDEX('7. PHMI Care Team Example'!$D$10:$D$28,MATCH($B29,'7. PHMI Care Team Example'!$B$10:$B$28,0))</f>
        <v>0.1</v>
      </c>
      <c r="F29" s="74">
        <f t="shared" si="2"/>
        <v>1</v>
      </c>
      <c r="G29" s="11">
        <f t="shared" si="3"/>
        <v>-0.1</v>
      </c>
      <c r="H29" s="11">
        <f t="shared" si="4"/>
        <v>-1</v>
      </c>
    </row>
    <row r="30" spans="1:8" ht="14.5" customHeight="1" x14ac:dyDescent="0.25">
      <c r="A30" s="52"/>
      <c r="B30" s="6" t="str">
        <f>+'1. Staffing and Salary Cost'!$B$26</f>
        <v>Population Health Specialist (MA)</v>
      </c>
      <c r="C30" s="11">
        <f t="shared" si="7"/>
        <v>0</v>
      </c>
      <c r="D30" s="11">
        <f>+INDEX('1. Staffing and Salary Cost'!$D$9:$D$39,MATCH($B30,'1. Staffing and Salary Cost'!$B$9:$B$39,0))</f>
        <v>0</v>
      </c>
      <c r="E30" s="74">
        <f>+INDEX('7. PHMI Care Team Example'!$D$10:$D$28,MATCH($B30,'7. PHMI Care Team Example'!$B$10:$B$28,0))</f>
        <v>0.1</v>
      </c>
      <c r="F30" s="74">
        <f t="shared" si="2"/>
        <v>1</v>
      </c>
      <c r="G30" s="11">
        <f t="shared" si="3"/>
        <v>-0.1</v>
      </c>
      <c r="H30" s="11">
        <f t="shared" si="4"/>
        <v>-1</v>
      </c>
    </row>
    <row r="31" spans="1:8" ht="14.5" customHeight="1" x14ac:dyDescent="0.25">
      <c r="A31" s="52"/>
      <c r="B31" s="6" t="str">
        <f>+'1. Staffing and Salary Cost'!$B$27</f>
        <v>QI Data Analyst</v>
      </c>
      <c r="C31" s="11">
        <f t="shared" si="7"/>
        <v>0</v>
      </c>
      <c r="D31" s="11">
        <f>+INDEX('1. Staffing and Salary Cost'!$D$9:$D$39,MATCH($B31,'1. Staffing and Salary Cost'!$B$9:$B$39,0))</f>
        <v>0</v>
      </c>
      <c r="E31" s="74">
        <f>+INDEX('7. PHMI Care Team Example'!$D$10:$D$28,MATCH($B31,'7. PHMI Care Team Example'!$B$10:$B$28,0))</f>
        <v>0.1</v>
      </c>
      <c r="F31" s="74">
        <f t="shared" si="2"/>
        <v>1</v>
      </c>
      <c r="G31" s="11">
        <f t="shared" si="3"/>
        <v>-0.1</v>
      </c>
      <c r="H31" s="11">
        <f t="shared" si="4"/>
        <v>-1</v>
      </c>
    </row>
    <row r="32" spans="1:8" ht="14.5" customHeight="1" x14ac:dyDescent="0.25">
      <c r="A32" s="52"/>
      <c r="B32" s="6" t="str">
        <f>+'1. Staffing and Salary Cost'!$B$28</f>
        <v>Care Manager/ Program oversight</v>
      </c>
      <c r="C32" s="11">
        <f t="shared" si="7"/>
        <v>0</v>
      </c>
      <c r="D32" s="11">
        <f>+INDEX('1. Staffing and Salary Cost'!$D$9:$D$39,MATCH($B32,'1. Staffing and Salary Cost'!$B$9:$B$39,0))</f>
        <v>0</v>
      </c>
      <c r="E32" s="74">
        <f>+INDEX('7. PHMI Care Team Example'!$D$10:$D$28,MATCH($B32,'7. PHMI Care Team Example'!$B$10:$B$28,0))</f>
        <v>0.33</v>
      </c>
      <c r="F32" s="74">
        <f t="shared" si="2"/>
        <v>3.3000000000000003</v>
      </c>
      <c r="G32" s="11">
        <f t="shared" si="3"/>
        <v>-0.33</v>
      </c>
      <c r="H32" s="11">
        <f t="shared" si="4"/>
        <v>-3.3000000000000003</v>
      </c>
    </row>
    <row r="33" spans="1:8" ht="14.5" customHeight="1" x14ac:dyDescent="0.25">
      <c r="A33" s="52"/>
      <c r="B33" s="6" t="str">
        <f>+'1. Staffing and Salary Cost'!$B$29</f>
        <v>Referral Management/Care Coordinator (MA / layperson / patient navigator)</v>
      </c>
      <c r="C33" s="11">
        <f t="shared" ref="C33:C42" si="8">+IF($D$17=0,0,D33/$D$17)</f>
        <v>0</v>
      </c>
      <c r="D33" s="11">
        <f>+INDEX('1. Staffing and Salary Cost'!$D$9:$D$39,MATCH($B33,'1. Staffing and Salary Cost'!$B$9:$B$39,0))</f>
        <v>0</v>
      </c>
      <c r="E33" s="74">
        <f>+INDEX('7. PHMI Care Team Example'!$D$10:$D$28,MATCH($B33,'7. PHMI Care Team Example'!$B$10:$B$28,0))</f>
        <v>0.1</v>
      </c>
      <c r="F33" s="74">
        <f t="shared" ref="F33" si="9">+E33*$D$17</f>
        <v>1</v>
      </c>
      <c r="G33" s="11">
        <f t="shared" ref="G33" si="10">+C33-E33</f>
        <v>-0.1</v>
      </c>
      <c r="H33" s="11">
        <f t="shared" ref="H33" si="11">+D33-F33</f>
        <v>-1</v>
      </c>
    </row>
    <row r="34" spans="1:8" ht="14.5" customHeight="1" x14ac:dyDescent="0.25">
      <c r="A34" s="52"/>
      <c r="B34" s="264" t="str">
        <f>+'1. Staffing and Salary Cost'!$B30</f>
        <v xml:space="preserve">Non-licensed BH provider </v>
      </c>
      <c r="C34" s="11">
        <f t="shared" si="8"/>
        <v>0</v>
      </c>
      <c r="D34" s="11">
        <f>+INDEX('1. Staffing and Salary Cost'!$D$9:$D$39,MATCH($B34,'1. Staffing and Salary Cost'!$B$9:$B$39,0))</f>
        <v>0</v>
      </c>
      <c r="E34" s="74"/>
      <c r="F34" s="74"/>
      <c r="G34" s="11"/>
      <c r="H34" s="11"/>
    </row>
    <row r="35" spans="1:8" ht="14.5" customHeight="1" x14ac:dyDescent="0.25">
      <c r="A35" s="52"/>
      <c r="B35" s="264" t="str">
        <f>+'1. Staffing and Salary Cost'!$B31</f>
        <v>Other Staff Type Write-in 1</v>
      </c>
      <c r="C35" s="11">
        <f t="shared" si="8"/>
        <v>0</v>
      </c>
      <c r="D35" s="11">
        <f>+INDEX('1. Staffing and Salary Cost'!$D$9:$D$39,MATCH($B35,'1. Staffing and Salary Cost'!$B$9:$B$39,0))</f>
        <v>0</v>
      </c>
      <c r="E35" s="74"/>
      <c r="F35" s="74"/>
      <c r="G35" s="11"/>
      <c r="H35" s="11"/>
    </row>
    <row r="36" spans="1:8" ht="14.5" customHeight="1" x14ac:dyDescent="0.25">
      <c r="A36" s="52"/>
      <c r="B36" s="264" t="str">
        <f>+'1. Staffing and Salary Cost'!$B32</f>
        <v>Other Staff Type Write-in 2</v>
      </c>
      <c r="C36" s="11">
        <f t="shared" si="8"/>
        <v>0</v>
      </c>
      <c r="D36" s="11">
        <f>+INDEX('1. Staffing and Salary Cost'!$D$9:$D$39,MATCH($B36,'1. Staffing and Salary Cost'!$B$9:$B$39,0))</f>
        <v>0</v>
      </c>
      <c r="E36" s="74"/>
      <c r="F36" s="74"/>
      <c r="G36" s="11"/>
      <c r="H36" s="11"/>
    </row>
    <row r="37" spans="1:8" ht="14.5" customHeight="1" x14ac:dyDescent="0.25">
      <c r="A37" s="52"/>
      <c r="B37" s="264" t="str">
        <f>+'1. Staffing and Salary Cost'!$B33</f>
        <v>Other Staff Type Write-in 3</v>
      </c>
      <c r="C37" s="11">
        <f t="shared" si="8"/>
        <v>0</v>
      </c>
      <c r="D37" s="11">
        <f>+INDEX('1. Staffing and Salary Cost'!$D$9:$D$39,MATCH($B37,'1. Staffing and Salary Cost'!$B$9:$B$39,0))</f>
        <v>0</v>
      </c>
      <c r="E37" s="74"/>
      <c r="F37" s="74"/>
      <c r="G37" s="11"/>
      <c r="H37" s="11"/>
    </row>
    <row r="38" spans="1:8" ht="14.5" customHeight="1" x14ac:dyDescent="0.25">
      <c r="A38" s="52"/>
      <c r="B38" s="264" t="str">
        <f>+'1. Staffing and Salary Cost'!$B34</f>
        <v>Other Staff Type Write-in 4</v>
      </c>
      <c r="C38" s="11">
        <f t="shared" si="8"/>
        <v>0</v>
      </c>
      <c r="D38" s="11">
        <f>+INDEX('1. Staffing and Salary Cost'!$D$9:$D$39,MATCH($B38,'1. Staffing and Salary Cost'!$B$9:$B$39,0))</f>
        <v>0</v>
      </c>
      <c r="E38" s="74"/>
      <c r="F38" s="74"/>
      <c r="G38" s="11"/>
      <c r="H38" s="11"/>
    </row>
    <row r="39" spans="1:8" ht="14.5" customHeight="1" x14ac:dyDescent="0.25">
      <c r="A39" s="52"/>
      <c r="B39" s="264" t="str">
        <f>+'1. Staffing and Salary Cost'!$B35</f>
        <v>Other Staff Type Write-in 5</v>
      </c>
      <c r="C39" s="11">
        <f t="shared" si="8"/>
        <v>0</v>
      </c>
      <c r="D39" s="11">
        <f>+INDEX('1. Staffing and Salary Cost'!$D$9:$D$39,MATCH($B39,'1. Staffing and Salary Cost'!$B$9:$B$39,0))</f>
        <v>0</v>
      </c>
      <c r="E39" s="74"/>
      <c r="F39" s="74"/>
      <c r="G39" s="11"/>
      <c r="H39" s="11"/>
    </row>
    <row r="40" spans="1:8" ht="14.5" customHeight="1" x14ac:dyDescent="0.25">
      <c r="A40" s="52"/>
      <c r="B40" s="264" t="str">
        <f>+'1. Staffing and Salary Cost'!$B36</f>
        <v>Other Staff Type Write-in 6</v>
      </c>
      <c r="C40" s="11">
        <f t="shared" si="8"/>
        <v>0</v>
      </c>
      <c r="D40" s="11">
        <f>+INDEX('1. Staffing and Salary Cost'!$D$9:$D$39,MATCH($B40,'1. Staffing and Salary Cost'!$B$9:$B$39,0))</f>
        <v>0</v>
      </c>
      <c r="E40" s="74"/>
      <c r="F40" s="74"/>
      <c r="G40" s="11"/>
      <c r="H40" s="11"/>
    </row>
    <row r="41" spans="1:8" ht="14.5" customHeight="1" x14ac:dyDescent="0.25">
      <c r="A41" s="52"/>
      <c r="B41" s="264" t="str">
        <f>+'1. Staffing and Salary Cost'!$B37</f>
        <v>Other Staff Type Write-in 7</v>
      </c>
      <c r="C41" s="11">
        <f t="shared" si="8"/>
        <v>0</v>
      </c>
      <c r="D41" s="11">
        <f>+INDEX('1. Staffing and Salary Cost'!$D$9:$D$39,MATCH($B41,'1. Staffing and Salary Cost'!$B$9:$B$39,0))</f>
        <v>0</v>
      </c>
      <c r="E41" s="74"/>
      <c r="F41" s="74"/>
      <c r="G41" s="11"/>
      <c r="H41" s="11"/>
    </row>
    <row r="42" spans="1:8" ht="14.5" customHeight="1" x14ac:dyDescent="0.25">
      <c r="A42" s="52"/>
      <c r="B42" s="264" t="str">
        <f>+'1. Staffing and Salary Cost'!$B38</f>
        <v>Other Staff Type Write-in 8</v>
      </c>
      <c r="C42" s="11">
        <f t="shared" si="8"/>
        <v>0</v>
      </c>
      <c r="D42" s="11">
        <f>+INDEX('1. Staffing and Salary Cost'!$D$9:$D$39,MATCH($B42,'1. Staffing and Salary Cost'!$B$9:$B$39,0))</f>
        <v>0</v>
      </c>
      <c r="E42" s="74"/>
      <c r="F42" s="74"/>
      <c r="G42" s="11"/>
      <c r="H42" s="11"/>
    </row>
    <row r="43" spans="1:8" ht="14.5" customHeight="1" x14ac:dyDescent="0.25">
      <c r="A43" s="52"/>
      <c r="B43" s="264" t="str">
        <f>+'1. Staffing and Salary Cost'!$B39</f>
        <v>Other Staff Type Write-in 9</v>
      </c>
      <c r="C43" s="11">
        <f t="shared" si="7"/>
        <v>0</v>
      </c>
      <c r="D43" s="11">
        <f>+INDEX('1. Staffing and Salary Cost'!$D$9:$D$39,MATCH($B43,'1. Staffing and Salary Cost'!$B$9:$B$39,0))</f>
        <v>0</v>
      </c>
      <c r="E43" s="74"/>
      <c r="F43" s="74"/>
      <c r="G43" s="11"/>
      <c r="H43" s="11"/>
    </row>
    <row r="44" spans="1:8" ht="14.5" customHeight="1" thickBot="1" x14ac:dyDescent="0.3">
      <c r="A44" s="52"/>
      <c r="B44" s="272" t="s">
        <v>300</v>
      </c>
      <c r="C44" s="273"/>
      <c r="D44" s="273">
        <f>+SUM(D23:D43)</f>
        <v>4</v>
      </c>
      <c r="E44" s="273"/>
      <c r="F44" s="273">
        <f t="shared" ref="F44:H44" si="12">+SUM(F23:F43)</f>
        <v>13.100000000000001</v>
      </c>
      <c r="G44" s="273"/>
      <c r="H44" s="273">
        <f t="shared" si="12"/>
        <v>-9.1</v>
      </c>
    </row>
    <row r="45" spans="1:8" ht="14.5" customHeight="1" thickBot="1" x14ac:dyDescent="0.3">
      <c r="A45" s="52"/>
      <c r="B45" s="275" t="s">
        <v>301</v>
      </c>
      <c r="C45" s="277"/>
      <c r="D45" s="277">
        <f t="shared" ref="D45:H45" si="13">+D44+D21</f>
        <v>26</v>
      </c>
      <c r="E45" s="277"/>
      <c r="F45" s="277">
        <f t="shared" si="13"/>
        <v>43.1</v>
      </c>
      <c r="G45" s="277"/>
      <c r="H45" s="283">
        <f t="shared" si="13"/>
        <v>-17.100000000000001</v>
      </c>
    </row>
    <row r="46" spans="1:8" ht="14.5" customHeight="1" x14ac:dyDescent="0.25">
      <c r="A46" s="52"/>
    </row>
    <row r="47" spans="1:8" ht="19" x14ac:dyDescent="0.25">
      <c r="A47" s="75" t="s">
        <v>229</v>
      </c>
    </row>
    <row r="48" spans="1:8" ht="19" x14ac:dyDescent="0.25">
      <c r="A48" s="75" t="s">
        <v>230</v>
      </c>
    </row>
    <row r="49" spans="1:12" ht="17" x14ac:dyDescent="0.2">
      <c r="B49" s="29" t="s">
        <v>231</v>
      </c>
      <c r="C49" s="23"/>
      <c r="E49" s="29" t="s">
        <v>406</v>
      </c>
      <c r="F49" s="29"/>
      <c r="G49" s="29"/>
      <c r="I49" s="29" t="s">
        <v>64</v>
      </c>
      <c r="J49" s="23"/>
      <c r="K49" s="23"/>
    </row>
    <row r="50" spans="1:12" x14ac:dyDescent="0.2">
      <c r="B50" s="24" t="s">
        <v>59</v>
      </c>
      <c r="C50" s="33">
        <v>1</v>
      </c>
      <c r="E50" s="34" t="s">
        <v>5</v>
      </c>
      <c r="F50" s="114"/>
      <c r="G50" s="36">
        <f>+'2. Users, Visits, Revenue'!E20</f>
        <v>28000</v>
      </c>
      <c r="I50" s="34" t="s">
        <v>63</v>
      </c>
      <c r="J50" s="34"/>
      <c r="K50" s="35">
        <f>+F62</f>
        <v>12</v>
      </c>
    </row>
    <row r="51" spans="1:12" x14ac:dyDescent="0.2">
      <c r="B51" s="6" t="s">
        <v>60</v>
      </c>
      <c r="C51" s="15">
        <v>0</v>
      </c>
      <c r="E51" s="34" t="s">
        <v>4</v>
      </c>
      <c r="F51" s="114"/>
      <c r="G51" s="36">
        <f>+IF(C62=0,0,G50/C62)</f>
        <v>2800</v>
      </c>
      <c r="I51" s="34" t="s">
        <v>84</v>
      </c>
      <c r="J51" s="34"/>
      <c r="K51" s="36">
        <f>+F62*G52</f>
        <v>19080</v>
      </c>
    </row>
    <row r="52" spans="1:12" ht="16" thickBot="1" x14ac:dyDescent="0.25">
      <c r="B52" s="30" t="s">
        <v>61</v>
      </c>
      <c r="C52" s="93">
        <v>1</v>
      </c>
      <c r="E52" s="34" t="s">
        <v>136</v>
      </c>
      <c r="F52" s="114"/>
      <c r="G52" s="36">
        <f>+IF(C62=0,0,'2. Users, Visits, Revenue'!L20/C62)</f>
        <v>1590</v>
      </c>
    </row>
    <row r="53" spans="1:12" ht="17" thickTop="1" x14ac:dyDescent="0.2">
      <c r="B53" s="107" t="s">
        <v>137</v>
      </c>
      <c r="C53" s="109">
        <f>SUM(C50:C52)</f>
        <v>2</v>
      </c>
    </row>
    <row r="55" spans="1:12" ht="19" x14ac:dyDescent="0.25">
      <c r="A55" s="75" t="s">
        <v>359</v>
      </c>
    </row>
    <row r="56" spans="1:12" ht="18" thickBot="1" x14ac:dyDescent="0.25">
      <c r="B56" s="29" t="s">
        <v>69</v>
      </c>
      <c r="C56" s="29"/>
      <c r="D56" s="29"/>
      <c r="E56" s="29"/>
      <c r="F56" s="218"/>
      <c r="G56" s="29"/>
      <c r="H56" s="29"/>
      <c r="I56" s="29"/>
      <c r="J56" s="29"/>
      <c r="K56" s="29"/>
      <c r="L56" s="29"/>
    </row>
    <row r="57" spans="1:12" ht="68" x14ac:dyDescent="0.2">
      <c r="B57" s="5" t="s">
        <v>0</v>
      </c>
      <c r="C57" s="221" t="s">
        <v>224</v>
      </c>
      <c r="D57" s="5" t="s">
        <v>232</v>
      </c>
      <c r="E57" s="192" t="s">
        <v>233</v>
      </c>
      <c r="F57" s="209" t="s">
        <v>234</v>
      </c>
      <c r="G57" s="208" t="s">
        <v>65</v>
      </c>
      <c r="H57" s="5" t="s">
        <v>263</v>
      </c>
      <c r="I57" s="5" t="s">
        <v>18</v>
      </c>
      <c r="J57" s="5" t="s">
        <v>4</v>
      </c>
      <c r="K57" s="5" t="s">
        <v>21</v>
      </c>
      <c r="L57" s="5" t="s">
        <v>394</v>
      </c>
    </row>
    <row r="58" spans="1:12" ht="16" x14ac:dyDescent="0.2">
      <c r="B58" s="236" t="str">
        <f>+'1. Staffing and Salary Cost'!$B$9</f>
        <v>CORE TEAM MEMBERS</v>
      </c>
      <c r="C58" s="121"/>
      <c r="D58" s="121"/>
      <c r="E58" s="216"/>
      <c r="F58" s="219"/>
      <c r="G58" s="224"/>
      <c r="H58" s="121"/>
      <c r="I58" s="121"/>
      <c r="J58" s="121"/>
      <c r="K58" s="121"/>
      <c r="L58" s="245"/>
    </row>
    <row r="59" spans="1:12" x14ac:dyDescent="0.2">
      <c r="B59" s="24" t="str">
        <f>+'1. Staffing and Salary Cost'!$B$10</f>
        <v>Physician (MD/DO)</v>
      </c>
      <c r="C59" s="11">
        <f>+INDEX('1. Staffing and Salary Cost'!$D$9:$D$39,MATCH($B59,'1. Staffing and Salary Cost'!$B$9:$B$39,0))</f>
        <v>5</v>
      </c>
      <c r="D59" s="103"/>
      <c r="E59" s="217">
        <f>+C59+C50</f>
        <v>6</v>
      </c>
      <c r="F59" s="220">
        <f t="shared" ref="F59:F61" si="14">+E59</f>
        <v>6</v>
      </c>
      <c r="G59" s="225">
        <f>+F59-C59</f>
        <v>1</v>
      </c>
      <c r="H59" s="14">
        <f>+INDEX('1. Staffing and Salary Cost'!$G$10:$G$39,MATCH($B59,'1. Staffing and Salary Cost'!$B$10:$B$39,0))*(C59+G59)</f>
        <v>1725000</v>
      </c>
      <c r="I59" s="14">
        <f>+INDEX('1. Staffing and Salary Cost'!$G$10:$G$39,MATCH($B59,'1. Staffing and Salary Cost'!$B$10:$B$39,0))*G59</f>
        <v>287500</v>
      </c>
      <c r="J59" s="12">
        <f t="shared" ref="J59:J61" si="15">+J60</f>
        <v>2800</v>
      </c>
      <c r="K59" s="12">
        <f>+J59*G59</f>
        <v>2800</v>
      </c>
      <c r="L59" s="317">
        <v>1</v>
      </c>
    </row>
    <row r="60" spans="1:12" x14ac:dyDescent="0.2">
      <c r="B60" s="6" t="str">
        <f>+'1. Staffing and Salary Cost'!$B$11</f>
        <v>Nurse Practitioner (NP)</v>
      </c>
      <c r="C60" s="11">
        <f>+INDEX('1. Staffing and Salary Cost'!$D$9:$D$39,MATCH($B60,'1. Staffing and Salary Cost'!$B$9:$B$39,0))</f>
        <v>3</v>
      </c>
      <c r="D60" s="59"/>
      <c r="E60" s="217">
        <f>+C60+C51</f>
        <v>3</v>
      </c>
      <c r="F60" s="220">
        <f t="shared" si="14"/>
        <v>3</v>
      </c>
      <c r="G60" s="225">
        <f t="shared" ref="G60:G65" si="16">+F60-C60</f>
        <v>0</v>
      </c>
      <c r="H60" s="14">
        <f>+INDEX('1. Staffing and Salary Cost'!$G$10:$G$39,MATCH($B60,'1. Staffing and Salary Cost'!$B$10:$B$39,0))*(C60+G60)</f>
        <v>689999.99999999988</v>
      </c>
      <c r="I60" s="14">
        <f>+INDEX('1. Staffing and Salary Cost'!$G$10:$G$39,MATCH($B60,'1. Staffing and Salary Cost'!$B$10:$B$39,0))*G60</f>
        <v>0</v>
      </c>
      <c r="J60" s="12">
        <f t="shared" si="15"/>
        <v>2800</v>
      </c>
      <c r="K60" s="12">
        <f>+J60*G60</f>
        <v>0</v>
      </c>
      <c r="L60" s="265">
        <v>1</v>
      </c>
    </row>
    <row r="61" spans="1:12" ht="16" thickBot="1" x14ac:dyDescent="0.25">
      <c r="B61" s="30" t="str">
        <f>+'1. Staffing and Salary Cost'!$B$12</f>
        <v>Physician Assistant (PA)</v>
      </c>
      <c r="C61" s="108">
        <f>+INDEX('1. Staffing and Salary Cost'!$D$9:$D$39,MATCH($B61,'1. Staffing and Salary Cost'!$B$9:$B$39,0))</f>
        <v>2</v>
      </c>
      <c r="D61" s="60"/>
      <c r="E61" s="222">
        <f>+C61+C52</f>
        <v>3</v>
      </c>
      <c r="F61" s="228">
        <f t="shared" si="14"/>
        <v>3</v>
      </c>
      <c r="G61" s="226">
        <f t="shared" si="16"/>
        <v>1</v>
      </c>
      <c r="H61" s="38">
        <f>+INDEX('1. Staffing and Salary Cost'!$G$10:$G$39,MATCH($B61,'1. Staffing and Salary Cost'!$B$10:$B$39,0))*(C61+G61)</f>
        <v>689999.99999999988</v>
      </c>
      <c r="I61" s="38">
        <f>+INDEX('1. Staffing and Salary Cost'!$G$10:$G$39,MATCH($B61,'1. Staffing and Salary Cost'!$B$10:$B$39,0))*G61</f>
        <v>229999.99999999997</v>
      </c>
      <c r="J61" s="45">
        <f t="shared" si="15"/>
        <v>2800</v>
      </c>
      <c r="K61" s="45">
        <f>+J61*G61</f>
        <v>2800</v>
      </c>
      <c r="L61" s="287">
        <v>1</v>
      </c>
    </row>
    <row r="62" spans="1:12" ht="17" thickTop="1" x14ac:dyDescent="0.2">
      <c r="B62" s="269" t="str">
        <f>+'1. Staffing and Salary Cost'!$B$13</f>
        <v>PCP subtotal</v>
      </c>
      <c r="C62" s="284">
        <f>+INDEX('1. Staffing and Salary Cost'!$D$9:$D$39,MATCH($B62,'1. Staffing and Salary Cost'!$B$9:$B$39,0))</f>
        <v>10</v>
      </c>
      <c r="D62" s="270">
        <f>+INDEX('7. PHMI Care Team Example'!$D$10:$D$28,MATCH($B62,'7. PHMI Care Team Example'!$B$10:$B$28,0))</f>
        <v>1</v>
      </c>
      <c r="E62" s="270">
        <f>SUM(E59:E61)</f>
        <v>12</v>
      </c>
      <c r="F62" s="284">
        <f>SUM(F59:F61)</f>
        <v>12</v>
      </c>
      <c r="G62" s="284">
        <f t="shared" si="16"/>
        <v>2</v>
      </c>
      <c r="H62" s="271">
        <f>SUM(H59:H61)</f>
        <v>3105000</v>
      </c>
      <c r="I62" s="271">
        <f>SUM(I59:I61)</f>
        <v>517500</v>
      </c>
      <c r="J62" s="286">
        <f>+IF(OR('2. Users, Visits, Revenue'!E20=0,'2. Users, Visits, Revenue'!C29=0),'7. PHMI Care Team Example'!$E$13,'2. Users, Visits, Revenue'!E20/'2. Users, Visits, Revenue'!C29)</f>
        <v>2800</v>
      </c>
      <c r="K62" s="286">
        <f>SUM(K59:K61)</f>
        <v>5600</v>
      </c>
      <c r="L62" s="284"/>
    </row>
    <row r="63" spans="1:12" x14ac:dyDescent="0.2">
      <c r="B63" s="6" t="str">
        <f>+'1. Staffing and Salary Cost'!$B$14</f>
        <v>BH Provider (LCSW/MFT or other)</v>
      </c>
      <c r="C63" s="11">
        <f>+INDEX('1. Staffing and Salary Cost'!$D$9:$D$39,MATCH($B63,'1. Staffing and Salary Cost'!$B$9:$B$39,0))</f>
        <v>1</v>
      </c>
      <c r="D63" s="74">
        <f>+INDEX('7. PHMI Care Team Example'!$D$10:$D$28,MATCH($B63,'7. PHMI Care Team Example'!$B$10:$B$28,0))</f>
        <v>0.5</v>
      </c>
      <c r="E63" s="217">
        <f>+D63*$E$62</f>
        <v>6</v>
      </c>
      <c r="F63" s="210">
        <v>2</v>
      </c>
      <c r="G63" s="225">
        <f t="shared" si="16"/>
        <v>1</v>
      </c>
      <c r="H63" s="14">
        <f>+INDEX('1. Staffing and Salary Cost'!$G$10:$G$39,MATCH($B63,'1. Staffing and Salary Cost'!$B$10:$B$39,0))*(C63+G63)</f>
        <v>413999.99999999994</v>
      </c>
      <c r="I63" s="14">
        <f>+INDEX('1. Staffing and Salary Cost'!$G$10:$G$39,MATCH($B63,'1. Staffing and Salary Cost'!$B$10:$B$39,0))*G63</f>
        <v>206999.99999999997</v>
      </c>
      <c r="J63" s="12">
        <f>+J68</f>
        <v>2966.6666666666665</v>
      </c>
      <c r="K63" s="12">
        <f>+J63*G63</f>
        <v>2966.6666666666665</v>
      </c>
      <c r="L63" s="317">
        <v>1</v>
      </c>
    </row>
    <row r="64" spans="1:12" x14ac:dyDescent="0.2">
      <c r="B64" s="6" t="str">
        <f>+'1. Staffing and Salary Cost'!$B$15</f>
        <v>Medical Assistant (MA)</v>
      </c>
      <c r="C64" s="11">
        <f>+INDEX('1. Staffing and Salary Cost'!$D$9:$D$39,MATCH($B64,'1. Staffing and Salary Cost'!$B$9:$B$39,0))</f>
        <v>10</v>
      </c>
      <c r="D64" s="74">
        <f>+INDEX('7. PHMI Care Team Example'!$D$10:$D$28,MATCH($B64,'7. PHMI Care Team Example'!$B$10:$B$28,0))</f>
        <v>1</v>
      </c>
      <c r="E64" s="217">
        <f>+D64*$E$62</f>
        <v>12</v>
      </c>
      <c r="F64" s="210">
        <v>12</v>
      </c>
      <c r="G64" s="225">
        <f>+F64-C64</f>
        <v>2</v>
      </c>
      <c r="H64" s="14">
        <f>+INDEX('1. Staffing and Salary Cost'!$G$10:$G$39,MATCH($B64,'1. Staffing and Salary Cost'!$B$10:$B$39,0))*(C64+G64)</f>
        <v>864000</v>
      </c>
      <c r="I64" s="14">
        <f>+INDEX('1. Staffing and Salary Cost'!$G$10:$G$39,MATCH($B64,'1. Staffing and Salary Cost'!$B$10:$B$39,0))*G64</f>
        <v>144000</v>
      </c>
      <c r="J64" s="59"/>
      <c r="K64" s="12">
        <f>+J64*G64</f>
        <v>0</v>
      </c>
      <c r="L64" s="265">
        <v>1</v>
      </c>
    </row>
    <row r="65" spans="2:12" ht="16" thickBot="1" x14ac:dyDescent="0.25">
      <c r="B65" s="279" t="str">
        <f>+'1. Staffing and Salary Cost'!$B$16</f>
        <v>Community Health Worker (CHW)/Peer Support</v>
      </c>
      <c r="C65" s="108">
        <f>+INDEX('1. Staffing and Salary Cost'!$D$9:$D$39,MATCH($B65,'1. Staffing and Salary Cost'!$B$9:$B$39,0))</f>
        <v>1</v>
      </c>
      <c r="D65" s="280">
        <f>+INDEX('7. PHMI Care Team Example'!$D$10:$D$28,MATCH($B65,'7. PHMI Care Team Example'!$B$10:$B$28,0))</f>
        <v>0.5</v>
      </c>
      <c r="E65" s="222">
        <f>+D65*$E$62</f>
        <v>6</v>
      </c>
      <c r="F65" s="285">
        <v>2</v>
      </c>
      <c r="G65" s="226">
        <f t="shared" si="16"/>
        <v>1</v>
      </c>
      <c r="H65" s="38">
        <f>+INDEX('1. Staffing and Salary Cost'!$G$10:$G$39,MATCH($B65,'1. Staffing and Salary Cost'!$B$10:$B$39,0))*(C65+G65)</f>
        <v>144000</v>
      </c>
      <c r="I65" s="38">
        <f>+INDEX('1. Staffing and Salary Cost'!$G$10:$G$39,MATCH($B65,'1. Staffing and Salary Cost'!$B$10:$B$39,0))*G65</f>
        <v>72000</v>
      </c>
      <c r="J65" s="60"/>
      <c r="K65" s="45">
        <f>+J65*G65</f>
        <v>0</v>
      </c>
      <c r="L65" s="287">
        <v>1</v>
      </c>
    </row>
    <row r="66" spans="2:12" ht="17" thickTop="1" x14ac:dyDescent="0.2">
      <c r="B66" s="269" t="s">
        <v>299</v>
      </c>
      <c r="C66" s="284">
        <f>+SUM(C62:C65)</f>
        <v>22</v>
      </c>
      <c r="D66" s="270"/>
      <c r="E66" s="270"/>
      <c r="F66" s="284">
        <f>+SUM(F62:F65)</f>
        <v>28</v>
      </c>
      <c r="G66" s="284">
        <f>+SUM(G62:G65)</f>
        <v>6</v>
      </c>
      <c r="H66" s="271">
        <f>+SUM(H62:H65)</f>
        <v>4527000</v>
      </c>
      <c r="I66" s="271">
        <f>+SUM(I62:I65)</f>
        <v>940500</v>
      </c>
      <c r="J66" s="269"/>
      <c r="K66" s="286">
        <f>+SUM(K62:K65)</f>
        <v>8566.6666666666661</v>
      </c>
      <c r="L66" s="284"/>
    </row>
    <row r="67" spans="2:12" x14ac:dyDescent="0.2">
      <c r="B67" s="236" t="str">
        <f>+'1. Staffing and Salary Cost'!$B$18</f>
        <v>EXPANDED TEAM MEMBERS</v>
      </c>
      <c r="C67" s="127"/>
      <c r="D67" s="58"/>
      <c r="E67" s="223"/>
      <c r="F67" s="229"/>
      <c r="G67" s="227"/>
      <c r="H67" s="129"/>
      <c r="I67" s="129"/>
      <c r="J67" s="128"/>
      <c r="K67" s="128"/>
      <c r="L67" s="128"/>
    </row>
    <row r="68" spans="2:12" x14ac:dyDescent="0.2">
      <c r="B68" s="24" t="str">
        <f>+'1. Staffing and Salary Cost'!$B$19</f>
        <v>Clinical Psychologist</v>
      </c>
      <c r="C68" s="11">
        <f>+INDEX('1. Staffing and Salary Cost'!$D$9:$D$39,MATCH($B68,'1. Staffing and Salary Cost'!$B$9:$B$39,0))</f>
        <v>2</v>
      </c>
      <c r="D68" s="206">
        <f>+INDEX('7. PHMI Care Team Example'!$D$10:$D$28,MATCH($B68,'7. PHMI Care Team Example'!$B$10:$B$28,0))</f>
        <v>0.1</v>
      </c>
      <c r="E68" s="217">
        <f t="shared" ref="E68:E78" si="17">+D68*$E$62</f>
        <v>1.2000000000000002</v>
      </c>
      <c r="F68" s="210">
        <v>3</v>
      </c>
      <c r="G68" s="225">
        <f>+F68-C68</f>
        <v>1</v>
      </c>
      <c r="H68" s="14">
        <f>+INDEX('1. Staffing and Salary Cost'!$G$10:$G$39,MATCH($B68,'1. Staffing and Salary Cost'!$B$10:$B$39,0))*(C68+G68)</f>
        <v>689999.99999999988</v>
      </c>
      <c r="I68" s="14">
        <f>+INDEX('1. Staffing and Salary Cost'!$G$10:$G$39,MATCH($B68,'1. Staffing and Salary Cost'!$B$10:$B$39,0))*G68</f>
        <v>229999.99999999997</v>
      </c>
      <c r="J68" s="12">
        <f>IF(OR('2. Users, Visits, Revenue'!G20=0,SUM('1. Staffing and Salary Cost'!D14,'1. Staffing and Salary Cost'!D19,'1. Staffing and Salary Cost'!D22)=0),'7. PHMI Care Team Example'!$E$18,'2. Users, Visits, Revenue'!G20/SUM('1. Staffing and Salary Cost'!D14,'1. Staffing and Salary Cost'!D19,'1. Staffing and Salary Cost'!D22))</f>
        <v>2966.6666666666665</v>
      </c>
      <c r="K68" s="12">
        <f t="shared" ref="K68:K88" si="18">+J68*G68</f>
        <v>2966.6666666666665</v>
      </c>
      <c r="L68" s="265">
        <v>1</v>
      </c>
    </row>
    <row r="69" spans="2:12" x14ac:dyDescent="0.2">
      <c r="B69" s="6" t="str">
        <f>+'1. Staffing and Salary Cost'!$B$20</f>
        <v>Triage Nurse and Clinic Oversight (RN/LVN)</v>
      </c>
      <c r="C69" s="11">
        <f>+INDEX('1. Staffing and Salary Cost'!$D$9:$D$39,MATCH($B69,'1. Staffing and Salary Cost'!$B$9:$B$39,0))</f>
        <v>2</v>
      </c>
      <c r="D69" s="74">
        <f>+INDEX('7. PHMI Care Team Example'!$D$10:$D$28,MATCH($B69,'7. PHMI Care Team Example'!$B$10:$B$28,0))</f>
        <v>0.15</v>
      </c>
      <c r="E69" s="217">
        <f t="shared" si="17"/>
        <v>1.7999999999999998</v>
      </c>
      <c r="F69" s="210">
        <f>+C69</f>
        <v>2</v>
      </c>
      <c r="G69" s="225">
        <f t="shared" ref="G69:G88" si="19">+F69-C69</f>
        <v>0</v>
      </c>
      <c r="H69" s="14">
        <f>+INDEX('1. Staffing and Salary Cost'!$G$10:$G$39,MATCH($B69,'1. Staffing and Salary Cost'!$B$10:$B$39,0))*(C69+G69)</f>
        <v>482999.99999999994</v>
      </c>
      <c r="I69" s="14">
        <f>+INDEX('1. Staffing and Salary Cost'!$G$10:$G$39,MATCH($B69,'1. Staffing and Salary Cost'!$B$10:$B$39,0))*G69</f>
        <v>0</v>
      </c>
      <c r="J69" s="59"/>
      <c r="K69" s="12">
        <f t="shared" si="18"/>
        <v>0</v>
      </c>
      <c r="L69" s="265">
        <v>1</v>
      </c>
    </row>
    <row r="70" spans="2:12" x14ac:dyDescent="0.2">
      <c r="B70" s="6" t="str">
        <f>+'1. Staffing and Salary Cost'!$B$21</f>
        <v>Clinical Pharmacist</v>
      </c>
      <c r="C70" s="11">
        <f>+INDEX('1. Staffing and Salary Cost'!$D$9:$D$39,MATCH($B70,'1. Staffing and Salary Cost'!$B$9:$B$39,0))</f>
        <v>0</v>
      </c>
      <c r="D70" s="74">
        <f>+INDEX('7. PHMI Care Team Example'!$D$10:$D$28,MATCH($B70,'7. PHMI Care Team Example'!$B$10:$B$28,0))</f>
        <v>0.1</v>
      </c>
      <c r="E70" s="217">
        <f t="shared" si="17"/>
        <v>1.2000000000000002</v>
      </c>
      <c r="F70" s="210">
        <v>0</v>
      </c>
      <c r="G70" s="225">
        <f t="shared" si="19"/>
        <v>0</v>
      </c>
      <c r="H70" s="14">
        <f>+INDEX('1. Staffing and Salary Cost'!$G$10:$G$39,MATCH($B70,'1. Staffing and Salary Cost'!$B$10:$B$39,0))*(C70+G70)</f>
        <v>0</v>
      </c>
      <c r="I70" s="14">
        <f>+INDEX('1. Staffing and Salary Cost'!$G$10:$G$39,MATCH($B70,'1. Staffing and Salary Cost'!$B$10:$B$39,0))*G70</f>
        <v>0</v>
      </c>
      <c r="J70" s="59"/>
      <c r="K70" s="12">
        <f t="shared" si="18"/>
        <v>0</v>
      </c>
      <c r="L70" s="265">
        <v>1</v>
      </c>
    </row>
    <row r="71" spans="2:12" x14ac:dyDescent="0.2">
      <c r="B71" s="6" t="str">
        <f>+'1. Staffing and Salary Cost'!$B$22</f>
        <v xml:space="preserve">Psychiatrist or Psychiatric Mental Health Nurse Practitioner </v>
      </c>
      <c r="C71" s="11">
        <f>+INDEX('1. Staffing and Salary Cost'!$D$9:$D$39,MATCH($B71,'1. Staffing and Salary Cost'!$B$9:$B$39,0))</f>
        <v>0</v>
      </c>
      <c r="D71" s="74">
        <f>+INDEX('7. PHMI Care Team Example'!$D$10:$D$28,MATCH($B71,'7. PHMI Care Team Example'!$B$10:$B$28,0))</f>
        <v>0.1</v>
      </c>
      <c r="E71" s="217">
        <f t="shared" si="17"/>
        <v>1.2000000000000002</v>
      </c>
      <c r="F71" s="210">
        <v>0</v>
      </c>
      <c r="G71" s="225">
        <f t="shared" si="19"/>
        <v>0</v>
      </c>
      <c r="H71" s="14">
        <f>+INDEX('1. Staffing and Salary Cost'!$G$10:$G$39,MATCH($B71,'1. Staffing and Salary Cost'!$B$10:$B$39,0))*(C71+G71)</f>
        <v>0</v>
      </c>
      <c r="I71" s="14">
        <f>+INDEX('1. Staffing and Salary Cost'!$G$10:$G$39,MATCH($B71,'1. Staffing and Salary Cost'!$B$10:$B$39,0))*G71</f>
        <v>0</v>
      </c>
      <c r="J71" s="12">
        <f>+J68</f>
        <v>2966.6666666666665</v>
      </c>
      <c r="K71" s="12">
        <f t="shared" si="18"/>
        <v>0</v>
      </c>
      <c r="L71" s="265">
        <v>1</v>
      </c>
    </row>
    <row r="72" spans="2:12" x14ac:dyDescent="0.2">
      <c r="B72" s="6" t="str">
        <f>+'1. Staffing and Salary Cost'!$B$23</f>
        <v>QI Lead</v>
      </c>
      <c r="C72" s="11">
        <f>+INDEX('1. Staffing and Salary Cost'!$D$9:$D$39,MATCH($B72,'1. Staffing and Salary Cost'!$B$9:$B$39,0))</f>
        <v>0</v>
      </c>
      <c r="D72" s="74">
        <f>+INDEX('7. PHMI Care Team Example'!$D$10:$D$28,MATCH($B72,'7. PHMI Care Team Example'!$B$10:$B$28,0))</f>
        <v>0.03</v>
      </c>
      <c r="E72" s="217">
        <f t="shared" si="17"/>
        <v>0.36</v>
      </c>
      <c r="F72" s="210">
        <v>0</v>
      </c>
      <c r="G72" s="225">
        <f t="shared" si="19"/>
        <v>0</v>
      </c>
      <c r="H72" s="14">
        <f>+INDEX('1. Staffing and Salary Cost'!$G$10:$G$39,MATCH($B72,'1. Staffing and Salary Cost'!$B$10:$B$39,0))*(C72+G72)</f>
        <v>0</v>
      </c>
      <c r="I72" s="14">
        <f>+INDEX('1. Staffing and Salary Cost'!$G$10:$G$39,MATCH($B72,'1. Staffing and Salary Cost'!$B$10:$B$39,0))*G72</f>
        <v>0</v>
      </c>
      <c r="J72" s="59"/>
      <c r="K72" s="12">
        <f t="shared" si="18"/>
        <v>0</v>
      </c>
      <c r="L72" s="265">
        <v>1</v>
      </c>
    </row>
    <row r="73" spans="2:12" x14ac:dyDescent="0.2">
      <c r="B73" s="6" t="str">
        <f>+'1. Staffing and Salary Cost'!$B$24</f>
        <v>Panel Manager/Data Analyst</v>
      </c>
      <c r="C73" s="11">
        <f>+INDEX('1. Staffing and Salary Cost'!$D$9:$D$39,MATCH($B73,'1. Staffing and Salary Cost'!$B$9:$B$39,0))</f>
        <v>0</v>
      </c>
      <c r="D73" s="74">
        <f>+INDEX('7. PHMI Care Team Example'!$D$10:$D$28,MATCH($B73,'7. PHMI Care Team Example'!$B$10:$B$28,0))</f>
        <v>0.1</v>
      </c>
      <c r="E73" s="217">
        <f t="shared" si="17"/>
        <v>1.2000000000000002</v>
      </c>
      <c r="F73" s="210">
        <v>0</v>
      </c>
      <c r="G73" s="225">
        <f t="shared" si="19"/>
        <v>0</v>
      </c>
      <c r="H73" s="14">
        <f>+INDEX('1. Staffing and Salary Cost'!$G$10:$G$39,MATCH($B73,'1. Staffing and Salary Cost'!$B$10:$B$39,0))*(C73+G73)</f>
        <v>0</v>
      </c>
      <c r="I73" s="14">
        <f>+INDEX('1. Staffing and Salary Cost'!$G$10:$G$39,MATCH($B73,'1. Staffing and Salary Cost'!$B$10:$B$39,0))*G73</f>
        <v>0</v>
      </c>
      <c r="J73" s="59"/>
      <c r="K73" s="12">
        <f t="shared" si="18"/>
        <v>0</v>
      </c>
      <c r="L73" s="265">
        <v>1</v>
      </c>
    </row>
    <row r="74" spans="2:12" x14ac:dyDescent="0.2">
      <c r="B74" s="6" t="str">
        <f>+'1. Staffing and Salary Cost'!$B$25</f>
        <v xml:space="preserve">Self Management Support &amp; Certified health education specialist (CHES) </v>
      </c>
      <c r="C74" s="11">
        <f>+INDEX('1. Staffing and Salary Cost'!$D$9:$D$39,MATCH($B74,'1. Staffing and Salary Cost'!$B$9:$B$39,0))</f>
        <v>0</v>
      </c>
      <c r="D74" s="74">
        <f>+INDEX('7. PHMI Care Team Example'!$D$10:$D$28,MATCH($B74,'7. PHMI Care Team Example'!$B$10:$B$28,0))</f>
        <v>0.1</v>
      </c>
      <c r="E74" s="217">
        <f t="shared" si="17"/>
        <v>1.2000000000000002</v>
      </c>
      <c r="F74" s="210">
        <v>0</v>
      </c>
      <c r="G74" s="225">
        <f t="shared" si="19"/>
        <v>0</v>
      </c>
      <c r="H74" s="14">
        <f>+INDEX('1. Staffing and Salary Cost'!$G$10:$G$39,MATCH($B74,'1. Staffing and Salary Cost'!$B$10:$B$39,0))*(C74+G74)</f>
        <v>0</v>
      </c>
      <c r="I74" s="14">
        <f>+INDEX('1. Staffing and Salary Cost'!$G$10:$G$39,MATCH($B74,'1. Staffing and Salary Cost'!$B$10:$B$39,0))*G74</f>
        <v>0</v>
      </c>
      <c r="J74" s="59"/>
      <c r="K74" s="12">
        <f t="shared" si="18"/>
        <v>0</v>
      </c>
      <c r="L74" s="265">
        <v>1</v>
      </c>
    </row>
    <row r="75" spans="2:12" x14ac:dyDescent="0.2">
      <c r="B75" s="6" t="str">
        <f>+'1. Staffing and Salary Cost'!$B$26</f>
        <v>Population Health Specialist (MA)</v>
      </c>
      <c r="C75" s="11">
        <f>+INDEX('1. Staffing and Salary Cost'!$D$9:$D$39,MATCH($B75,'1. Staffing and Salary Cost'!$B$9:$B$39,0))</f>
        <v>0</v>
      </c>
      <c r="D75" s="74">
        <f>+INDEX('7. PHMI Care Team Example'!$D$10:$D$28,MATCH($B75,'7. PHMI Care Team Example'!$B$10:$B$28,0))</f>
        <v>0.1</v>
      </c>
      <c r="E75" s="217">
        <f t="shared" si="17"/>
        <v>1.2000000000000002</v>
      </c>
      <c r="F75" s="210">
        <v>0</v>
      </c>
      <c r="G75" s="225">
        <f t="shared" si="19"/>
        <v>0</v>
      </c>
      <c r="H75" s="14">
        <f>+INDEX('1. Staffing and Salary Cost'!$G$10:$G$39,MATCH($B75,'1. Staffing and Salary Cost'!$B$10:$B$39,0))*(C75+G75)</f>
        <v>0</v>
      </c>
      <c r="I75" s="14">
        <f>+INDEX('1. Staffing and Salary Cost'!$G$10:$G$39,MATCH($B75,'1. Staffing and Salary Cost'!$B$10:$B$39,0))*G75</f>
        <v>0</v>
      </c>
      <c r="J75" s="59"/>
      <c r="K75" s="12">
        <f t="shared" si="18"/>
        <v>0</v>
      </c>
      <c r="L75" s="265">
        <v>1</v>
      </c>
    </row>
    <row r="76" spans="2:12" x14ac:dyDescent="0.2">
      <c r="B76" s="6" t="str">
        <f>+'1. Staffing and Salary Cost'!$B$27</f>
        <v>QI Data Analyst</v>
      </c>
      <c r="C76" s="11">
        <f>+INDEX('1. Staffing and Salary Cost'!$D$9:$D$39,MATCH($B76,'1. Staffing and Salary Cost'!$B$9:$B$39,0))</f>
        <v>0</v>
      </c>
      <c r="D76" s="74">
        <f>+INDEX('7. PHMI Care Team Example'!$D$10:$D$28,MATCH($B76,'7. PHMI Care Team Example'!$B$10:$B$28,0))</f>
        <v>0.1</v>
      </c>
      <c r="E76" s="217">
        <f t="shared" si="17"/>
        <v>1.2000000000000002</v>
      </c>
      <c r="F76" s="210">
        <v>0</v>
      </c>
      <c r="G76" s="225">
        <f t="shared" si="19"/>
        <v>0</v>
      </c>
      <c r="H76" s="14">
        <f>+INDEX('1. Staffing and Salary Cost'!$G$10:$G$39,MATCH($B76,'1. Staffing and Salary Cost'!$B$10:$B$39,0))*(C76+G76)</f>
        <v>0</v>
      </c>
      <c r="I76" s="14">
        <f>+INDEX('1. Staffing and Salary Cost'!$G$10:$G$39,MATCH($B76,'1. Staffing and Salary Cost'!$B$10:$B$39,0))*G76</f>
        <v>0</v>
      </c>
      <c r="J76" s="59"/>
      <c r="K76" s="12">
        <f t="shared" si="18"/>
        <v>0</v>
      </c>
      <c r="L76" s="265">
        <v>1</v>
      </c>
    </row>
    <row r="77" spans="2:12" x14ac:dyDescent="0.2">
      <c r="B77" s="6" t="str">
        <f>+'1. Staffing and Salary Cost'!$B$28</f>
        <v>Care Manager/ Program oversight</v>
      </c>
      <c r="C77" s="11">
        <f>+INDEX('1. Staffing and Salary Cost'!$D$9:$D$39,MATCH($B77,'1. Staffing and Salary Cost'!$B$9:$B$39,0))</f>
        <v>0</v>
      </c>
      <c r="D77" s="74">
        <f>+INDEX('7. PHMI Care Team Example'!$D$10:$D$28,MATCH($B77,'7. PHMI Care Team Example'!$B$10:$B$28,0))</f>
        <v>0.33</v>
      </c>
      <c r="E77" s="217">
        <f t="shared" si="17"/>
        <v>3.96</v>
      </c>
      <c r="F77" s="210">
        <v>0</v>
      </c>
      <c r="G77" s="225">
        <f t="shared" si="19"/>
        <v>0</v>
      </c>
      <c r="H77" s="14">
        <f>+INDEX('1. Staffing and Salary Cost'!$G$10:$G$39,MATCH($B77,'1. Staffing and Salary Cost'!$B$10:$B$39,0))*(C77+G77)</f>
        <v>0</v>
      </c>
      <c r="I77" s="14">
        <f>+INDEX('1. Staffing and Salary Cost'!$G$10:$G$39,MATCH($B77,'1. Staffing and Salary Cost'!$B$10:$B$39,0))*G77</f>
        <v>0</v>
      </c>
      <c r="J77" s="59"/>
      <c r="K77" s="12">
        <f t="shared" si="18"/>
        <v>0</v>
      </c>
      <c r="L77" s="265">
        <v>1</v>
      </c>
    </row>
    <row r="78" spans="2:12" ht="14.5" customHeight="1" x14ac:dyDescent="0.2">
      <c r="B78" s="6" t="str">
        <f>+'1. Staffing and Salary Cost'!$B$29</f>
        <v>Referral Management/Care Coordinator (MA / layperson / patient navigator)</v>
      </c>
      <c r="C78" s="11">
        <f>+INDEX('1. Staffing and Salary Cost'!$D$9:$D$39,MATCH($B78,'1. Staffing and Salary Cost'!$B$9:$B$39,0))</f>
        <v>0</v>
      </c>
      <c r="D78" s="74">
        <f>+INDEX('7. PHMI Care Team Example'!$D$10:$D$28,MATCH($B78,'7. PHMI Care Team Example'!$B$10:$B$28,0))</f>
        <v>0.1</v>
      </c>
      <c r="E78" s="217">
        <f t="shared" si="17"/>
        <v>1.2000000000000002</v>
      </c>
      <c r="F78" s="210">
        <v>0</v>
      </c>
      <c r="G78" s="225">
        <f t="shared" ref="G78:G87" si="20">+F78-C78</f>
        <v>0</v>
      </c>
      <c r="H78" s="14">
        <f>+INDEX('1. Staffing and Salary Cost'!$G$10:$G$39,MATCH($B78,'1. Staffing and Salary Cost'!$B$10:$B$39,0))*(C78+G78)</f>
        <v>0</v>
      </c>
      <c r="I78" s="14">
        <f>+INDEX('1. Staffing and Salary Cost'!$G$10:$G$39,MATCH($B78,'1. Staffing and Salary Cost'!$B$10:$B$39,0))*G78</f>
        <v>0</v>
      </c>
      <c r="J78" s="59"/>
      <c r="K78" s="12">
        <f t="shared" ref="K78:K87" si="21">+J78*G78</f>
        <v>0</v>
      </c>
      <c r="L78" s="265">
        <v>1</v>
      </c>
    </row>
    <row r="79" spans="2:12" x14ac:dyDescent="0.2">
      <c r="B79" s="264" t="str">
        <f>+'1. Staffing and Salary Cost'!$B30</f>
        <v xml:space="preserve">Non-licensed BH provider </v>
      </c>
      <c r="C79" s="11">
        <f>+INDEX('1. Staffing and Salary Cost'!$D$9:$D$39,MATCH($B79,'1. Staffing and Salary Cost'!$B$9:$B$39,0))</f>
        <v>0</v>
      </c>
      <c r="D79" s="74"/>
      <c r="E79" s="217"/>
      <c r="F79" s="210">
        <v>0</v>
      </c>
      <c r="G79" s="225">
        <f t="shared" si="20"/>
        <v>0</v>
      </c>
      <c r="H79" s="14">
        <f>+INDEX('1. Staffing and Salary Cost'!$G$10:$G$39,MATCH($B79,'1. Staffing and Salary Cost'!$B$10:$B$39,0))*(C79+G79)</f>
        <v>0</v>
      </c>
      <c r="I79" s="14">
        <f>+INDEX('1. Staffing and Salary Cost'!$G$10:$G$39,MATCH($B79,'1. Staffing and Salary Cost'!$B$10:$B$39,0))*G79</f>
        <v>0</v>
      </c>
      <c r="J79" s="59"/>
      <c r="K79" s="12">
        <f t="shared" si="21"/>
        <v>0</v>
      </c>
      <c r="L79" s="265">
        <v>1</v>
      </c>
    </row>
    <row r="80" spans="2:12" x14ac:dyDescent="0.2">
      <c r="B80" s="264" t="str">
        <f>+'1. Staffing and Salary Cost'!$B31</f>
        <v>Other Staff Type Write-in 1</v>
      </c>
      <c r="C80" s="11">
        <f>+INDEX('1. Staffing and Salary Cost'!$D$9:$D$39,MATCH($B80,'1. Staffing and Salary Cost'!$B$9:$B$39,0))</f>
        <v>0</v>
      </c>
      <c r="D80" s="74"/>
      <c r="E80" s="217"/>
      <c r="F80" s="210">
        <v>0</v>
      </c>
      <c r="G80" s="225">
        <f t="shared" si="20"/>
        <v>0</v>
      </c>
      <c r="H80" s="14">
        <f>+INDEX('1. Staffing and Salary Cost'!$G$10:$G$39,MATCH($B80,'1. Staffing and Salary Cost'!$B$10:$B$39,0))*(C80+G80)</f>
        <v>0</v>
      </c>
      <c r="I80" s="14">
        <f>+INDEX('1. Staffing and Salary Cost'!$G$10:$G$39,MATCH($B80,'1. Staffing and Salary Cost'!$B$10:$B$39,0))*G80</f>
        <v>0</v>
      </c>
      <c r="J80" s="59"/>
      <c r="K80" s="12">
        <f t="shared" si="21"/>
        <v>0</v>
      </c>
      <c r="L80" s="265">
        <v>1</v>
      </c>
    </row>
    <row r="81" spans="1:13" x14ac:dyDescent="0.2">
      <c r="B81" s="264" t="str">
        <f>+'1. Staffing and Salary Cost'!$B32</f>
        <v>Other Staff Type Write-in 2</v>
      </c>
      <c r="C81" s="11">
        <f>+INDEX('1. Staffing and Salary Cost'!$D$9:$D$39,MATCH($B81,'1. Staffing and Salary Cost'!$B$9:$B$39,0))</f>
        <v>0</v>
      </c>
      <c r="D81" s="74"/>
      <c r="E81" s="217"/>
      <c r="F81" s="210">
        <v>0</v>
      </c>
      <c r="G81" s="225">
        <f t="shared" si="20"/>
        <v>0</v>
      </c>
      <c r="H81" s="14">
        <f>+INDEX('1. Staffing and Salary Cost'!$G$10:$G$39,MATCH($B81,'1. Staffing and Salary Cost'!$B$10:$B$39,0))*(C81+G81)</f>
        <v>0</v>
      </c>
      <c r="I81" s="14">
        <f>+INDEX('1. Staffing and Salary Cost'!$G$10:$G$39,MATCH($B81,'1. Staffing and Salary Cost'!$B$10:$B$39,0))*G81</f>
        <v>0</v>
      </c>
      <c r="J81" s="59"/>
      <c r="K81" s="12">
        <f t="shared" si="21"/>
        <v>0</v>
      </c>
      <c r="L81" s="265">
        <v>1</v>
      </c>
    </row>
    <row r="82" spans="1:13" x14ac:dyDescent="0.2">
      <c r="B82" s="264" t="str">
        <f>+'1. Staffing and Salary Cost'!$B33</f>
        <v>Other Staff Type Write-in 3</v>
      </c>
      <c r="C82" s="11">
        <f>+INDEX('1. Staffing and Salary Cost'!$D$9:$D$39,MATCH($B82,'1. Staffing and Salary Cost'!$B$9:$B$39,0))</f>
        <v>0</v>
      </c>
      <c r="D82" s="74"/>
      <c r="E82" s="217"/>
      <c r="F82" s="210">
        <v>0</v>
      </c>
      <c r="G82" s="225">
        <f t="shared" si="20"/>
        <v>0</v>
      </c>
      <c r="H82" s="14">
        <f>+INDEX('1. Staffing and Salary Cost'!$G$10:$G$39,MATCH($B82,'1. Staffing and Salary Cost'!$B$10:$B$39,0))*(C82+G82)</f>
        <v>0</v>
      </c>
      <c r="I82" s="14">
        <f>+INDEX('1. Staffing and Salary Cost'!$G$10:$G$39,MATCH($B82,'1. Staffing and Salary Cost'!$B$10:$B$39,0))*G82</f>
        <v>0</v>
      </c>
      <c r="J82" s="59"/>
      <c r="K82" s="12">
        <f t="shared" si="21"/>
        <v>0</v>
      </c>
      <c r="L82" s="265">
        <v>1</v>
      </c>
    </row>
    <row r="83" spans="1:13" x14ac:dyDescent="0.2">
      <c r="B83" s="264" t="str">
        <f>+'1. Staffing and Salary Cost'!$B34</f>
        <v>Other Staff Type Write-in 4</v>
      </c>
      <c r="C83" s="11">
        <f>+INDEX('1. Staffing and Salary Cost'!$D$9:$D$39,MATCH($B83,'1. Staffing and Salary Cost'!$B$9:$B$39,0))</f>
        <v>0</v>
      </c>
      <c r="D83" s="74"/>
      <c r="E83" s="217"/>
      <c r="F83" s="210">
        <v>0</v>
      </c>
      <c r="G83" s="225">
        <f t="shared" si="20"/>
        <v>0</v>
      </c>
      <c r="H83" s="14">
        <f>+INDEX('1. Staffing and Salary Cost'!$G$10:$G$39,MATCH($B83,'1. Staffing and Salary Cost'!$B$10:$B$39,0))*(C83+G83)</f>
        <v>0</v>
      </c>
      <c r="I83" s="14">
        <f>+INDEX('1. Staffing and Salary Cost'!$G$10:$G$39,MATCH($B83,'1. Staffing and Salary Cost'!$B$10:$B$39,0))*G83</f>
        <v>0</v>
      </c>
      <c r="J83" s="59"/>
      <c r="K83" s="12">
        <f t="shared" si="21"/>
        <v>0</v>
      </c>
      <c r="L83" s="265">
        <v>1</v>
      </c>
    </row>
    <row r="84" spans="1:13" x14ac:dyDescent="0.2">
      <c r="B84" s="264" t="str">
        <f>+'1. Staffing and Salary Cost'!$B35</f>
        <v>Other Staff Type Write-in 5</v>
      </c>
      <c r="C84" s="11">
        <f>+INDEX('1. Staffing and Salary Cost'!$D$9:$D$39,MATCH($B84,'1. Staffing and Salary Cost'!$B$9:$B$39,0))</f>
        <v>0</v>
      </c>
      <c r="D84" s="74"/>
      <c r="E84" s="217"/>
      <c r="F84" s="210">
        <v>0</v>
      </c>
      <c r="G84" s="225">
        <f t="shared" si="20"/>
        <v>0</v>
      </c>
      <c r="H84" s="14">
        <f>+INDEX('1. Staffing and Salary Cost'!$G$10:$G$39,MATCH($B84,'1. Staffing and Salary Cost'!$B$10:$B$39,0))*(C84+G84)</f>
        <v>0</v>
      </c>
      <c r="I84" s="14">
        <f>+INDEX('1. Staffing and Salary Cost'!$G$10:$G$39,MATCH($B84,'1. Staffing and Salary Cost'!$B$10:$B$39,0))*G84</f>
        <v>0</v>
      </c>
      <c r="J84" s="59"/>
      <c r="K84" s="12">
        <f t="shared" si="21"/>
        <v>0</v>
      </c>
      <c r="L84" s="265">
        <v>1</v>
      </c>
    </row>
    <row r="85" spans="1:13" x14ac:dyDescent="0.2">
      <c r="B85" s="264" t="str">
        <f>+'1. Staffing and Salary Cost'!$B36</f>
        <v>Other Staff Type Write-in 6</v>
      </c>
      <c r="C85" s="11">
        <f>+INDEX('1. Staffing and Salary Cost'!$D$9:$D$39,MATCH($B85,'1. Staffing and Salary Cost'!$B$9:$B$39,0))</f>
        <v>0</v>
      </c>
      <c r="D85" s="74"/>
      <c r="E85" s="217"/>
      <c r="F85" s="210">
        <v>0</v>
      </c>
      <c r="G85" s="225">
        <f t="shared" si="20"/>
        <v>0</v>
      </c>
      <c r="H85" s="14">
        <f>+INDEX('1. Staffing and Salary Cost'!$G$10:$G$39,MATCH($B85,'1. Staffing and Salary Cost'!$B$10:$B$39,0))*(C85+G85)</f>
        <v>0</v>
      </c>
      <c r="I85" s="14">
        <f>+INDEX('1. Staffing and Salary Cost'!$G$10:$G$39,MATCH($B85,'1. Staffing and Salary Cost'!$B$10:$B$39,0))*G85</f>
        <v>0</v>
      </c>
      <c r="J85" s="59"/>
      <c r="K85" s="12">
        <f t="shared" si="21"/>
        <v>0</v>
      </c>
      <c r="L85" s="265">
        <v>1</v>
      </c>
    </row>
    <row r="86" spans="1:13" x14ac:dyDescent="0.2">
      <c r="B86" s="264" t="str">
        <f>+'1. Staffing and Salary Cost'!$B37</f>
        <v>Other Staff Type Write-in 7</v>
      </c>
      <c r="C86" s="11">
        <f>+INDEX('1. Staffing and Salary Cost'!$D$9:$D$39,MATCH($B86,'1. Staffing and Salary Cost'!$B$9:$B$39,0))</f>
        <v>0</v>
      </c>
      <c r="D86" s="74"/>
      <c r="E86" s="217"/>
      <c r="F86" s="210">
        <v>0</v>
      </c>
      <c r="G86" s="225">
        <f t="shared" si="20"/>
        <v>0</v>
      </c>
      <c r="H86" s="14">
        <f>+INDEX('1. Staffing and Salary Cost'!$G$10:$G$39,MATCH($B86,'1. Staffing and Salary Cost'!$B$10:$B$39,0))*(C86+G86)</f>
        <v>0</v>
      </c>
      <c r="I86" s="14">
        <f>+INDEX('1. Staffing and Salary Cost'!$G$10:$G$39,MATCH($B86,'1. Staffing and Salary Cost'!$B$10:$B$39,0))*G86</f>
        <v>0</v>
      </c>
      <c r="J86" s="59"/>
      <c r="K86" s="12">
        <f t="shared" si="21"/>
        <v>0</v>
      </c>
      <c r="L86" s="265">
        <v>1</v>
      </c>
    </row>
    <row r="87" spans="1:13" x14ac:dyDescent="0.2">
      <c r="B87" s="264" t="str">
        <f>+'1. Staffing and Salary Cost'!$B38</f>
        <v>Other Staff Type Write-in 8</v>
      </c>
      <c r="C87" s="11">
        <f>+INDEX('1. Staffing and Salary Cost'!$D$9:$D$39,MATCH($B87,'1. Staffing and Salary Cost'!$B$9:$B$39,0))</f>
        <v>0</v>
      </c>
      <c r="D87" s="74"/>
      <c r="E87" s="217"/>
      <c r="F87" s="210">
        <v>0</v>
      </c>
      <c r="G87" s="225">
        <f t="shared" si="20"/>
        <v>0</v>
      </c>
      <c r="H87" s="14">
        <f>+INDEX('1. Staffing and Salary Cost'!$G$10:$G$39,MATCH($B87,'1. Staffing and Salary Cost'!$B$10:$B$39,0))*(C87+G87)</f>
        <v>0</v>
      </c>
      <c r="I87" s="14">
        <f>+INDEX('1. Staffing and Salary Cost'!$G$10:$G$39,MATCH($B87,'1. Staffing and Salary Cost'!$B$10:$B$39,0))*G87</f>
        <v>0</v>
      </c>
      <c r="J87" s="59"/>
      <c r="K87" s="12">
        <f t="shared" si="21"/>
        <v>0</v>
      </c>
      <c r="L87" s="265">
        <v>1</v>
      </c>
    </row>
    <row r="88" spans="1:13" ht="16" thickBot="1" x14ac:dyDescent="0.25">
      <c r="B88" s="281" t="str">
        <f>+'1. Staffing and Salary Cost'!$B39</f>
        <v>Other Staff Type Write-in 9</v>
      </c>
      <c r="C88" s="108">
        <f>+INDEX('1. Staffing and Salary Cost'!$D$9:$D$39,MATCH($B88,'1. Staffing and Salary Cost'!$B$9:$B$39,0))</f>
        <v>0</v>
      </c>
      <c r="D88" s="282"/>
      <c r="E88" s="222"/>
      <c r="F88" s="285">
        <v>0</v>
      </c>
      <c r="G88" s="226">
        <f t="shared" si="19"/>
        <v>0</v>
      </c>
      <c r="H88" s="38">
        <f>+INDEX('1. Staffing and Salary Cost'!$G$10:$G$39,MATCH($B88,'1. Staffing and Salary Cost'!$B$10:$B$39,0))*(C88+G88)</f>
        <v>0</v>
      </c>
      <c r="I88" s="38">
        <f>+INDEX('1. Staffing and Salary Cost'!$G$10:$G$39,MATCH($B88,'1. Staffing and Salary Cost'!$B$10:$B$39,0))*G88</f>
        <v>0</v>
      </c>
      <c r="J88" s="60"/>
      <c r="K88" s="45">
        <f t="shared" si="18"/>
        <v>0</v>
      </c>
      <c r="L88" s="287">
        <v>1</v>
      </c>
    </row>
    <row r="89" spans="1:13" ht="18" thickTop="1" thickBot="1" x14ac:dyDescent="0.25">
      <c r="B89" s="272" t="s">
        <v>300</v>
      </c>
      <c r="C89" s="288">
        <f>SUM(C68:C88)</f>
        <v>4</v>
      </c>
      <c r="D89" s="273"/>
      <c r="E89" s="273"/>
      <c r="F89" s="288">
        <f>SUM(F68:F88)</f>
        <v>5</v>
      </c>
      <c r="G89" s="288">
        <f>SUM(G68:G88)</f>
        <v>1</v>
      </c>
      <c r="H89" s="274">
        <f>SUM(H68:H88)</f>
        <v>1172999.9999999998</v>
      </c>
      <c r="I89" s="274">
        <f>SUM(I68:I88)</f>
        <v>229999.99999999997</v>
      </c>
      <c r="J89" s="272"/>
      <c r="K89" s="289">
        <f>SUM(K68:K88)</f>
        <v>2966.6666666666665</v>
      </c>
      <c r="L89" s="288"/>
      <c r="M89" s="294"/>
    </row>
    <row r="90" spans="1:13" ht="17" thickBot="1" x14ac:dyDescent="0.25">
      <c r="B90" s="275" t="s">
        <v>301</v>
      </c>
      <c r="C90" s="290">
        <f>+C66+C89</f>
        <v>26</v>
      </c>
      <c r="D90" s="277"/>
      <c r="E90" s="277"/>
      <c r="F90" s="290">
        <f>+F66+F89</f>
        <v>33</v>
      </c>
      <c r="G90" s="290">
        <f t="shared" ref="G90:I90" si="22">+G66+G89</f>
        <v>7</v>
      </c>
      <c r="H90" s="291">
        <f t="shared" si="22"/>
        <v>5700000</v>
      </c>
      <c r="I90" s="291">
        <f t="shared" si="22"/>
        <v>1170500</v>
      </c>
      <c r="J90" s="276"/>
      <c r="K90" s="292">
        <f>+K66+K89</f>
        <v>11533.333333333332</v>
      </c>
      <c r="L90" s="293"/>
    </row>
    <row r="92" spans="1:13" ht="19" x14ac:dyDescent="0.25">
      <c r="A92" s="75" t="s">
        <v>280</v>
      </c>
    </row>
    <row r="93" spans="1:13" ht="14.5" customHeight="1" x14ac:dyDescent="0.25">
      <c r="A93" s="75"/>
      <c r="B93" s="256" t="s">
        <v>274</v>
      </c>
      <c r="C93" s="53" t="s">
        <v>407</v>
      </c>
    </row>
    <row r="94" spans="1:13" ht="14.5" customHeight="1" x14ac:dyDescent="0.25">
      <c r="A94" s="75"/>
    </row>
    <row r="95" spans="1:13" ht="19" x14ac:dyDescent="0.25">
      <c r="A95" s="75" t="s">
        <v>296</v>
      </c>
    </row>
    <row r="96" spans="1:13" ht="14.5" customHeight="1" x14ac:dyDescent="0.25">
      <c r="A96" s="75"/>
      <c r="B96" s="34" t="s">
        <v>380</v>
      </c>
      <c r="C96" s="43" t="s">
        <v>70</v>
      </c>
    </row>
    <row r="97" spans="1:12" ht="14.5" customHeight="1" x14ac:dyDescent="0.25">
      <c r="A97" s="75"/>
      <c r="B97" s="211" t="s">
        <v>429</v>
      </c>
      <c r="C97" s="315"/>
    </row>
    <row r="98" spans="1:12" ht="14.5" customHeight="1" x14ac:dyDescent="0.25">
      <c r="A98" s="75"/>
    </row>
    <row r="99" spans="1:12" ht="14.5" customHeight="1" x14ac:dyDescent="0.25">
      <c r="A99" s="75" t="s">
        <v>322</v>
      </c>
      <c r="F99" s="75"/>
    </row>
    <row r="100" spans="1:12" ht="14.5" customHeight="1" x14ac:dyDescent="0.25">
      <c r="A100" s="75"/>
      <c r="B100" s="24" t="s">
        <v>325</v>
      </c>
      <c r="C100" s="262">
        <f>+'2. Users, Visits, Revenue'!K20</f>
        <v>37000</v>
      </c>
      <c r="F100" s="75"/>
    </row>
    <row r="101" spans="1:12" ht="14.5" customHeight="1" x14ac:dyDescent="0.25">
      <c r="A101" s="75"/>
      <c r="B101" s="6" t="s">
        <v>314</v>
      </c>
      <c r="C101" s="12">
        <f>+K90</f>
        <v>11533.333333333332</v>
      </c>
      <c r="F101" s="75"/>
    </row>
    <row r="102" spans="1:12" ht="14.5" customHeight="1" x14ac:dyDescent="0.25">
      <c r="A102" s="75"/>
      <c r="B102" s="19" t="s">
        <v>408</v>
      </c>
      <c r="C102" s="96">
        <v>0.03</v>
      </c>
      <c r="F102" s="75"/>
    </row>
    <row r="103" spans="1:12" ht="14.5" customHeight="1" x14ac:dyDescent="0.25">
      <c r="A103" s="75"/>
      <c r="B103" s="25" t="s">
        <v>316</v>
      </c>
      <c r="C103" s="22">
        <f>+(C100+C101)*(1+C102)</f>
        <v>49989.333333333328</v>
      </c>
      <c r="D103" s="313"/>
    </row>
    <row r="104" spans="1:12" ht="14.5" customHeight="1" x14ac:dyDescent="0.25">
      <c r="A104" s="75"/>
      <c r="B104" s="211" t="s">
        <v>327</v>
      </c>
      <c r="C104" s="195"/>
    </row>
    <row r="105" spans="1:12" ht="14.5" customHeight="1" x14ac:dyDescent="0.25">
      <c r="A105" s="75"/>
      <c r="B105" s="307" t="s">
        <v>328</v>
      </c>
    </row>
    <row r="106" spans="1:12" ht="14.5" customHeight="1" x14ac:dyDescent="0.25">
      <c r="A106" s="75"/>
      <c r="B106" s="306"/>
      <c r="J106" s="113" t="s">
        <v>35</v>
      </c>
      <c r="K106" s="113"/>
      <c r="L106" s="113"/>
    </row>
    <row r="107" spans="1:12" ht="32" x14ac:dyDescent="0.25">
      <c r="A107" s="75"/>
      <c r="B107" s="100" t="s">
        <v>38</v>
      </c>
      <c r="C107" s="100" t="s">
        <v>317</v>
      </c>
      <c r="D107" s="100" t="s">
        <v>181</v>
      </c>
      <c r="E107" s="100" t="s">
        <v>318</v>
      </c>
      <c r="F107" s="100" t="s">
        <v>323</v>
      </c>
      <c r="G107" s="100" t="s">
        <v>319</v>
      </c>
      <c r="H107" s="100" t="s">
        <v>320</v>
      </c>
      <c r="I107" s="100" t="s">
        <v>321</v>
      </c>
      <c r="J107" s="100" t="s">
        <v>330</v>
      </c>
      <c r="K107" s="100" t="s">
        <v>331</v>
      </c>
      <c r="L107" s="100" t="s">
        <v>332</v>
      </c>
    </row>
    <row r="108" spans="1:12" ht="14.5" customHeight="1" x14ac:dyDescent="0.25">
      <c r="A108" s="75"/>
      <c r="B108" s="6" t="s">
        <v>131</v>
      </c>
      <c r="C108" s="13">
        <f>+'2. Users, Visits, Revenue'!N12</f>
        <v>196.56205430849755</v>
      </c>
      <c r="D108" s="304">
        <f>+'2. Users, Visits, Revenue'!K12</f>
        <v>28467</v>
      </c>
      <c r="E108" s="89">
        <f>+'2. Users, Visits, Revenue'!O12</f>
        <v>0.76937837837837841</v>
      </c>
      <c r="F108" s="302">
        <v>-0.03</v>
      </c>
      <c r="G108" s="89">
        <f>+E108+F108</f>
        <v>0.73937837837837839</v>
      </c>
      <c r="H108" s="12">
        <f t="shared" ref="H108:H115" si="23">+G108*$H$116</f>
        <v>36961.032216216212</v>
      </c>
      <c r="I108" s="13">
        <f t="shared" ref="I108:I115" si="24">+C108</f>
        <v>196.56205430849755</v>
      </c>
      <c r="J108" s="235">
        <f t="shared" ref="J108:J115" si="25">+C108*D108</f>
        <v>5595532</v>
      </c>
      <c r="K108" s="235">
        <f t="shared" ref="K108:K115" si="26">+H108*I108</f>
        <v>7265136.4217820186</v>
      </c>
      <c r="L108" s="235">
        <f>+C125*12*C119</f>
        <v>6773727.2179199988</v>
      </c>
    </row>
    <row r="109" spans="1:12" ht="14.5" customHeight="1" x14ac:dyDescent="0.25">
      <c r="A109" s="75"/>
      <c r="B109" s="6" t="s">
        <v>132</v>
      </c>
      <c r="C109" s="13">
        <f>+'2. Users, Visits, Revenue'!N13</f>
        <v>215.6</v>
      </c>
      <c r="D109" s="304">
        <f>+'2. Users, Visits, Revenue'!K13</f>
        <v>1233</v>
      </c>
      <c r="E109" s="89">
        <f>+'2. Users, Visits, Revenue'!O13</f>
        <v>3.3324324324324327E-2</v>
      </c>
      <c r="F109" s="302">
        <v>0</v>
      </c>
      <c r="G109" s="89">
        <f t="shared" ref="G109:G113" si="27">+E109+F109</f>
        <v>3.3324324324324327E-2</v>
      </c>
      <c r="H109" s="12">
        <f t="shared" si="23"/>
        <v>1665.8607567567567</v>
      </c>
      <c r="I109" s="13">
        <f t="shared" si="24"/>
        <v>215.6</v>
      </c>
      <c r="J109" s="14">
        <f t="shared" si="25"/>
        <v>265834.8</v>
      </c>
      <c r="K109" s="14">
        <f t="shared" si="26"/>
        <v>359159.57915675675</v>
      </c>
      <c r="L109" s="14">
        <f t="shared" ref="L109:L115" si="28">+K109</f>
        <v>359159.57915675675</v>
      </c>
    </row>
    <row r="110" spans="1:12" ht="14.5" customHeight="1" x14ac:dyDescent="0.25">
      <c r="A110" s="75"/>
      <c r="B110" s="6" t="s">
        <v>133</v>
      </c>
      <c r="C110" s="13">
        <f>+'2. Users, Visits, Revenue'!N14</f>
        <v>176.4</v>
      </c>
      <c r="D110" s="304">
        <f>+'2. Users, Visits, Revenue'!K14</f>
        <v>1622</v>
      </c>
      <c r="E110" s="89">
        <f>+'2. Users, Visits, Revenue'!O14</f>
        <v>4.3837837837837838E-2</v>
      </c>
      <c r="F110" s="302">
        <v>0</v>
      </c>
      <c r="G110" s="89">
        <f t="shared" si="27"/>
        <v>4.3837837837837838E-2</v>
      </c>
      <c r="H110" s="12">
        <f t="shared" si="23"/>
        <v>2191.4242882882882</v>
      </c>
      <c r="I110" s="13">
        <f t="shared" si="24"/>
        <v>176.4</v>
      </c>
      <c r="J110" s="14">
        <f t="shared" si="25"/>
        <v>286120.8</v>
      </c>
      <c r="K110" s="14">
        <f t="shared" si="26"/>
        <v>386567.24445405405</v>
      </c>
      <c r="L110" s="14">
        <f t="shared" si="28"/>
        <v>386567.24445405405</v>
      </c>
    </row>
    <row r="111" spans="1:12" ht="14.5" customHeight="1" x14ac:dyDescent="0.25">
      <c r="A111" s="75"/>
      <c r="B111" s="6" t="s">
        <v>6</v>
      </c>
      <c r="C111" s="13">
        <f>+'2. Users, Visits, Revenue'!N15</f>
        <v>44.1</v>
      </c>
      <c r="D111" s="304">
        <f>+'2. Users, Visits, Revenue'!K15</f>
        <v>1622</v>
      </c>
      <c r="E111" s="89">
        <f>+'2. Users, Visits, Revenue'!O15</f>
        <v>4.3837837837837838E-2</v>
      </c>
      <c r="F111" s="302">
        <v>1.4999999999999999E-2</v>
      </c>
      <c r="G111" s="89">
        <f t="shared" si="27"/>
        <v>5.8837837837837838E-2</v>
      </c>
      <c r="H111" s="12">
        <f t="shared" si="23"/>
        <v>2941.2642882882878</v>
      </c>
      <c r="I111" s="13">
        <f t="shared" si="24"/>
        <v>44.1</v>
      </c>
      <c r="J111" s="14">
        <f t="shared" si="25"/>
        <v>71530.2</v>
      </c>
      <c r="K111" s="14">
        <f t="shared" si="26"/>
        <v>129709.7551135135</v>
      </c>
      <c r="L111" s="14">
        <f t="shared" si="28"/>
        <v>129709.7551135135</v>
      </c>
    </row>
    <row r="112" spans="1:12" ht="14.5" customHeight="1" x14ac:dyDescent="0.25">
      <c r="A112" s="75"/>
      <c r="B112" s="6" t="s">
        <v>20</v>
      </c>
      <c r="C112" s="13">
        <f>+'2. Users, Visits, Revenue'!N16</f>
        <v>137.19999999999999</v>
      </c>
      <c r="D112" s="304">
        <f>+'2. Users, Visits, Revenue'!K16</f>
        <v>203</v>
      </c>
      <c r="E112" s="89">
        <f>+'2. Users, Visits, Revenue'!O16</f>
        <v>5.4864864864864861E-3</v>
      </c>
      <c r="F112" s="302">
        <v>5.0000000000000001E-3</v>
      </c>
      <c r="G112" s="89">
        <f t="shared" si="27"/>
        <v>1.0486486486486486E-2</v>
      </c>
      <c r="H112" s="12">
        <f t="shared" si="23"/>
        <v>524.21246846846839</v>
      </c>
      <c r="I112" s="13">
        <f t="shared" si="24"/>
        <v>137.19999999999999</v>
      </c>
      <c r="J112" s="14">
        <f t="shared" si="25"/>
        <v>27851.599999999999</v>
      </c>
      <c r="K112" s="14">
        <f t="shared" si="26"/>
        <v>71921.950673873856</v>
      </c>
      <c r="L112" s="14">
        <f t="shared" si="28"/>
        <v>71921.950673873856</v>
      </c>
    </row>
    <row r="113" spans="1:12" ht="14.5" customHeight="1" x14ac:dyDescent="0.25">
      <c r="A113" s="75"/>
      <c r="B113" s="6" t="s">
        <v>7</v>
      </c>
      <c r="C113" s="13">
        <f>+'2. Users, Visits, Revenue'!N17</f>
        <v>137.19999999999999</v>
      </c>
      <c r="D113" s="304">
        <f>+'2. Users, Visits, Revenue'!K17</f>
        <v>203</v>
      </c>
      <c r="E113" s="89">
        <f>+'2. Users, Visits, Revenue'!O17</f>
        <v>5.4864864864864861E-3</v>
      </c>
      <c r="F113" s="302">
        <v>0</v>
      </c>
      <c r="G113" s="89">
        <f t="shared" si="27"/>
        <v>5.4864864864864861E-3</v>
      </c>
      <c r="H113" s="12">
        <f t="shared" si="23"/>
        <v>274.26580180180179</v>
      </c>
      <c r="I113" s="13">
        <f t="shared" si="24"/>
        <v>137.19999999999999</v>
      </c>
      <c r="J113" s="14">
        <f t="shared" si="25"/>
        <v>27851.599999999999</v>
      </c>
      <c r="K113" s="14">
        <f t="shared" si="26"/>
        <v>37629.268007207203</v>
      </c>
      <c r="L113" s="14">
        <f t="shared" si="28"/>
        <v>37629.268007207203</v>
      </c>
    </row>
    <row r="114" spans="1:12" ht="14.5" customHeight="1" x14ac:dyDescent="0.25">
      <c r="A114" s="75"/>
      <c r="B114" s="6" t="s">
        <v>8</v>
      </c>
      <c r="C114" s="13">
        <f>+'2. Users, Visits, Revenue'!N18</f>
        <v>29.4</v>
      </c>
      <c r="D114" s="304">
        <f>+'2. Users, Visits, Revenue'!K18</f>
        <v>3650</v>
      </c>
      <c r="E114" s="89">
        <f>+'2. Users, Visits, Revenue'!O18</f>
        <v>9.8648648648648654E-2</v>
      </c>
      <c r="F114" s="89">
        <f>0%-SUM(F108:F113,F115)</f>
        <v>9.9999999999999985E-3</v>
      </c>
      <c r="G114" s="89">
        <f>+E114+F114</f>
        <v>0.10864864864864865</v>
      </c>
      <c r="H114" s="12">
        <f t="shared" si="23"/>
        <v>5431.2735135135126</v>
      </c>
      <c r="I114" s="13">
        <f t="shared" si="24"/>
        <v>29.4</v>
      </c>
      <c r="J114" s="14">
        <f t="shared" si="25"/>
        <v>107310</v>
      </c>
      <c r="K114" s="14">
        <f t="shared" si="26"/>
        <v>159679.44129729725</v>
      </c>
      <c r="L114" s="14">
        <f t="shared" si="28"/>
        <v>159679.44129729725</v>
      </c>
    </row>
    <row r="115" spans="1:12" ht="14.5" customHeight="1" x14ac:dyDescent="0.25">
      <c r="A115" s="75"/>
      <c r="B115" s="6" t="str">
        <f>+'2. Users, Visits, Revenue'!B19</f>
        <v>Other Payor Write-in</v>
      </c>
      <c r="C115" s="13">
        <f>+'2. Users, Visits, Revenue'!N19</f>
        <v>0</v>
      </c>
      <c r="D115" s="304">
        <f>+'2. Users, Visits, Revenue'!K19</f>
        <v>0</v>
      </c>
      <c r="E115" s="89">
        <f>+'2. Users, Visits, Revenue'!O19</f>
        <v>0</v>
      </c>
      <c r="F115" s="302">
        <v>0</v>
      </c>
      <c r="G115" s="89">
        <f>+E115+F115</f>
        <v>0</v>
      </c>
      <c r="H115" s="12">
        <f t="shared" si="23"/>
        <v>0</v>
      </c>
      <c r="I115" s="13">
        <f t="shared" si="24"/>
        <v>0</v>
      </c>
      <c r="J115" s="14">
        <f t="shared" si="25"/>
        <v>0</v>
      </c>
      <c r="K115" s="14">
        <f t="shared" si="26"/>
        <v>0</v>
      </c>
      <c r="L115" s="14">
        <f t="shared" si="28"/>
        <v>0</v>
      </c>
    </row>
    <row r="116" spans="1:12" ht="14.5" customHeight="1" x14ac:dyDescent="0.25">
      <c r="A116" s="75"/>
      <c r="B116" s="100" t="s">
        <v>3</v>
      </c>
      <c r="C116" s="184">
        <f>+'2. Users, Visits, Revenue'!N20</f>
        <v>172.48732432432431</v>
      </c>
      <c r="D116" s="305">
        <f>SUM(D108:D115)</f>
        <v>37000</v>
      </c>
      <c r="E116" s="9">
        <f>+'2. Users, Visits, Revenue'!O20</f>
        <v>1</v>
      </c>
      <c r="F116" s="9"/>
      <c r="G116" s="9">
        <f>SUM(G108:G115)</f>
        <v>1</v>
      </c>
      <c r="H116" s="17">
        <f>+C103</f>
        <v>49989.333333333328</v>
      </c>
      <c r="I116" s="184">
        <f>+SUMPRODUCT(G108:G115,I108:I115)</f>
        <v>168.2319626950694</v>
      </c>
      <c r="J116" s="62">
        <f>SUM(J108:J115)</f>
        <v>6382030.9999999991</v>
      </c>
      <c r="K116" s="62">
        <f>SUM(K108:K115)</f>
        <v>8409803.66048472</v>
      </c>
      <c r="L116" s="62">
        <f>SUM(L108:L115)</f>
        <v>7918394.4566227011</v>
      </c>
    </row>
    <row r="117" spans="1:12" ht="14.5" customHeight="1" x14ac:dyDescent="0.25">
      <c r="A117" s="75"/>
      <c r="B117" s="110"/>
      <c r="F117" s="97" t="s">
        <v>383</v>
      </c>
    </row>
    <row r="118" spans="1:12" ht="14.5" customHeight="1" x14ac:dyDescent="0.25">
      <c r="A118" s="75" t="s">
        <v>315</v>
      </c>
      <c r="H118" s="2"/>
    </row>
    <row r="119" spans="1:12" ht="14.5" customHeight="1" x14ac:dyDescent="0.25">
      <c r="A119" s="75"/>
      <c r="B119" s="24" t="s">
        <v>324</v>
      </c>
      <c r="C119" s="303">
        <f>+'2. Users, Visits, Revenue'!F41</f>
        <v>26.714083834622361</v>
      </c>
      <c r="G119" s="75"/>
    </row>
    <row r="120" spans="1:12" ht="14.5" customHeight="1" x14ac:dyDescent="0.25">
      <c r="A120" s="75"/>
      <c r="B120" s="24" t="s">
        <v>326</v>
      </c>
      <c r="C120" s="262">
        <f>+E178</f>
        <v>17455</v>
      </c>
      <c r="G120" s="75"/>
    </row>
    <row r="121" spans="1:12" ht="14.5" customHeight="1" x14ac:dyDescent="0.25">
      <c r="A121" s="75"/>
      <c r="B121" s="6" t="s">
        <v>333</v>
      </c>
      <c r="C121" s="12">
        <f>+F62*'2. Users, Visits, Revenue'!C33*(1+F108)</f>
        <v>20317.62</v>
      </c>
      <c r="G121" s="75"/>
    </row>
    <row r="122" spans="1:12" ht="14.5" customHeight="1" x14ac:dyDescent="0.25">
      <c r="A122" s="75"/>
      <c r="B122" s="19" t="s">
        <v>289</v>
      </c>
      <c r="C122" s="96">
        <v>0.05</v>
      </c>
      <c r="F122" s="75"/>
      <c r="G122" s="75"/>
    </row>
    <row r="123" spans="1:12" ht="14.5" customHeight="1" x14ac:dyDescent="0.25">
      <c r="A123" s="75"/>
      <c r="B123" s="21" t="s">
        <v>290</v>
      </c>
      <c r="C123" s="260">
        <v>-0.01</v>
      </c>
      <c r="G123" s="75"/>
    </row>
    <row r="124" spans="1:12" ht="14.5" customHeight="1" x14ac:dyDescent="0.25">
      <c r="A124" s="75"/>
      <c r="B124" s="19" t="s">
        <v>273</v>
      </c>
      <c r="C124" s="261">
        <f>+C122+C123</f>
        <v>0.04</v>
      </c>
      <c r="G124" s="75"/>
    </row>
    <row r="125" spans="1:12" ht="14.5" customHeight="1" x14ac:dyDescent="0.25">
      <c r="A125" s="75"/>
      <c r="B125" s="21" t="s">
        <v>291</v>
      </c>
      <c r="C125" s="22">
        <f>+C121*(1+C124)</f>
        <v>21130.324799999999</v>
      </c>
      <c r="G125" s="75"/>
    </row>
    <row r="126" spans="1:12" ht="14.5" customHeight="1" x14ac:dyDescent="0.25">
      <c r="A126" s="75"/>
      <c r="G126" s="75"/>
    </row>
    <row r="127" spans="1:12" ht="20" thickBot="1" x14ac:dyDescent="0.3">
      <c r="A127" s="75" t="s">
        <v>176</v>
      </c>
    </row>
    <row r="128" spans="1:12" ht="17" x14ac:dyDescent="0.2">
      <c r="B128" s="203" t="s">
        <v>67</v>
      </c>
      <c r="C128" s="194" t="s">
        <v>376</v>
      </c>
      <c r="D128" s="194" t="s">
        <v>377</v>
      </c>
      <c r="E128" s="194" t="s">
        <v>378</v>
      </c>
      <c r="F128" s="193" t="s">
        <v>379</v>
      </c>
    </row>
    <row r="129" spans="1:6" ht="14.5" customHeight="1" x14ac:dyDescent="0.25">
      <c r="A129" s="75"/>
      <c r="B129" s="246" t="s">
        <v>174</v>
      </c>
      <c r="C129" s="14">
        <f>+C144</f>
        <v>2280066.7702992628</v>
      </c>
      <c r="D129" s="14">
        <f t="shared" ref="D129:F129" si="29">+D144</f>
        <v>2348468.7734082406</v>
      </c>
      <c r="E129" s="14">
        <f t="shared" si="29"/>
        <v>2996646.9567752299</v>
      </c>
      <c r="F129" s="252">
        <f t="shared" si="29"/>
        <v>3086546.3654784868</v>
      </c>
    </row>
    <row r="130" spans="1:6" ht="14.5" customHeight="1" x14ac:dyDescent="0.25">
      <c r="A130" s="75"/>
      <c r="B130" s="246" t="s">
        <v>175</v>
      </c>
      <c r="C130" s="14">
        <f>+-C154</f>
        <v>-2727451.4864864862</v>
      </c>
      <c r="D130" s="14">
        <f t="shared" ref="D130:F130" si="30">+-D154</f>
        <v>-2887725.5162162166</v>
      </c>
      <c r="E130" s="14">
        <f t="shared" si="30"/>
        <v>-3058605.7765405411</v>
      </c>
      <c r="F130" s="252">
        <f t="shared" si="30"/>
        <v>-3240822.4445713521</v>
      </c>
    </row>
    <row r="131" spans="1:6" ht="14.5" customHeight="1" x14ac:dyDescent="0.25">
      <c r="A131" s="75"/>
      <c r="B131" s="246" t="s">
        <v>337</v>
      </c>
      <c r="C131" s="14">
        <f>+'4. Incentive information'!E50*(1+'2. Users, Visits, Revenue'!C$45)</f>
        <v>100940</v>
      </c>
      <c r="D131" s="14">
        <f>+C131*(1+'2. Users, Visits, Revenue'!D$45)</f>
        <v>103968.2</v>
      </c>
      <c r="E131" s="14">
        <f>+D131*(1+'2. Users, Visits, Revenue'!E$45)</f>
        <v>107087.246</v>
      </c>
      <c r="F131" s="252">
        <f>+E131*(1+'2. Users, Visits, Revenue'!F$45)</f>
        <v>110299.86338</v>
      </c>
    </row>
    <row r="132" spans="1:6" ht="14.5" customHeight="1" thickBot="1" x14ac:dyDescent="0.3">
      <c r="A132" s="75"/>
      <c r="B132" s="311" t="s">
        <v>216</v>
      </c>
      <c r="C132" s="38">
        <f>+'6. PHMI Expense and Grants'!C14</f>
        <v>400000</v>
      </c>
      <c r="D132" s="38">
        <f>+'6. PHMI Expense and Grants'!D14</f>
        <v>400000</v>
      </c>
      <c r="E132" s="38">
        <f>+'6. PHMI Expense and Grants'!E14</f>
        <v>255000</v>
      </c>
      <c r="F132" s="312">
        <f>+'6. PHMI Expense and Grants'!F14</f>
        <v>255000</v>
      </c>
    </row>
    <row r="133" spans="1:6" ht="14.5" customHeight="1" thickTop="1" thickBot="1" x14ac:dyDescent="0.3">
      <c r="A133" s="75"/>
      <c r="B133" s="308" t="s">
        <v>420</v>
      </c>
      <c r="C133" s="309">
        <f>SUM(C129:C132)</f>
        <v>53555.283812776674</v>
      </c>
      <c r="D133" s="309">
        <f t="shared" ref="D133:F133" si="31">SUM(D129:D132)</f>
        <v>-35288.542807975959</v>
      </c>
      <c r="E133" s="309">
        <f t="shared" si="31"/>
        <v>300128.42623468878</v>
      </c>
      <c r="F133" s="310">
        <f t="shared" si="31"/>
        <v>211023.78428713465</v>
      </c>
    </row>
    <row r="134" spans="1:6" ht="14.5" customHeight="1" thickBot="1" x14ac:dyDescent="0.3">
      <c r="A134" s="75"/>
      <c r="B134" s="247" t="s">
        <v>421</v>
      </c>
      <c r="C134" s="250">
        <f>+'5. Historical Financials'!E43</f>
        <v>86836.283812774345</v>
      </c>
      <c r="D134" s="250">
        <f>+'5. Historical Financials'!F43</f>
        <v>-202007.54280797765</v>
      </c>
      <c r="E134" s="250">
        <f>+'5. Historical Financials'!G43</f>
        <v>133409.42623468861</v>
      </c>
      <c r="F134" s="251">
        <f>+'5. Historical Financials'!H43</f>
        <v>44304.784287134185</v>
      </c>
    </row>
    <row r="135" spans="1:6" x14ac:dyDescent="0.2">
      <c r="C135" s="294"/>
      <c r="D135" s="294"/>
      <c r="E135" s="294"/>
      <c r="F135" s="294"/>
    </row>
    <row r="136" spans="1:6" ht="19" x14ac:dyDescent="0.25">
      <c r="A136" s="75" t="s">
        <v>288</v>
      </c>
    </row>
    <row r="137" spans="1:6" ht="14.5" customHeight="1" x14ac:dyDescent="0.2">
      <c r="B137" s="248" t="s">
        <v>264</v>
      </c>
      <c r="C137" s="248" t="s">
        <v>376</v>
      </c>
      <c r="D137" s="248" t="s">
        <v>377</v>
      </c>
      <c r="E137" s="248" t="s">
        <v>378</v>
      </c>
      <c r="F137" s="100" t="s">
        <v>379</v>
      </c>
    </row>
    <row r="138" spans="1:6" ht="14.5" customHeight="1" x14ac:dyDescent="0.2">
      <c r="B138" s="19" t="s">
        <v>284</v>
      </c>
      <c r="C138" s="64">
        <f>+(K116-J116)*(1+'2. Users, Visits, Revenue'!C$45)</f>
        <v>2088605.8402992627</v>
      </c>
      <c r="D138" s="64">
        <f>+C138*(1+'2. Users, Visits, Revenue'!D$45)</f>
        <v>2151264.0155082406</v>
      </c>
      <c r="E138" s="64">
        <f>+D138*(1+'2. Users, Visits, Revenue'!E$45)</f>
        <v>2215801.9359734878</v>
      </c>
      <c r="F138" s="64">
        <f>+E138*(1+'2. Users, Visits, Revenue'!F$45)</f>
        <v>2282275.9940526923</v>
      </c>
    </row>
    <row r="139" spans="1:6" ht="14.5" customHeight="1" x14ac:dyDescent="0.2">
      <c r="B139" s="44" t="s">
        <v>393</v>
      </c>
      <c r="C139" s="316">
        <f>+'2. Users, Visits, Revenue'!I20*'2. Users, Visits, Revenue'!C45</f>
        <v>191460.92999999996</v>
      </c>
      <c r="D139" s="316">
        <f>+C139*(1+'2. Users, Visits, Revenue'!D$45)</f>
        <v>197204.75789999997</v>
      </c>
      <c r="E139" s="316">
        <f>+D139*(1+'2. Users, Visits, Revenue'!E$45)</f>
        <v>203120.90063699998</v>
      </c>
      <c r="F139" s="316">
        <f>+E139*(1+'2. Users, Visits, Revenue'!F$45)</f>
        <v>209214.52765611</v>
      </c>
    </row>
    <row r="140" spans="1:6" ht="14.5" customHeight="1" x14ac:dyDescent="0.2">
      <c r="B140" s="21" t="s">
        <v>285</v>
      </c>
      <c r="C140" s="98">
        <v>0</v>
      </c>
      <c r="D140" s="98">
        <v>0</v>
      </c>
      <c r="E140" s="98">
        <f>+IF($C$96="Yes",C173,0)</f>
        <v>577724.12016474211</v>
      </c>
      <c r="F140" s="98">
        <f>+E140*(1+'2. Users, Visits, Revenue'!F$45)</f>
        <v>595055.84376968443</v>
      </c>
    </row>
    <row r="141" spans="1:6" ht="14.5" customHeight="1" x14ac:dyDescent="0.2">
      <c r="B141" s="19" t="s">
        <v>283</v>
      </c>
      <c r="C141" s="64">
        <f>+(L116-J116)*(1+'2. Users, Visits, Revenue'!C$45)</f>
        <v>1582454.3603213832</v>
      </c>
      <c r="D141" s="64">
        <f>+C141*(1+'2. Users, Visits, Revenue'!D$45)</f>
        <v>1629927.9911310247</v>
      </c>
      <c r="E141" s="64">
        <f>+D141*(1+'2. Users, Visits, Revenue'!E$45)</f>
        <v>1678825.8308649554</v>
      </c>
      <c r="F141" s="64">
        <f>+E141*(1+'2. Users, Visits, Revenue'!F$45)</f>
        <v>1729190.6057909043</v>
      </c>
    </row>
    <row r="142" spans="1:6" ht="14.5" customHeight="1" x14ac:dyDescent="0.2">
      <c r="B142" s="44" t="s">
        <v>393</v>
      </c>
      <c r="C142" s="316">
        <f t="shared" ref="C142:F142" si="32">+C139</f>
        <v>191460.92999999996</v>
      </c>
      <c r="D142" s="316">
        <f t="shared" si="32"/>
        <v>197204.75789999997</v>
      </c>
      <c r="E142" s="316">
        <f t="shared" si="32"/>
        <v>203120.90063699998</v>
      </c>
      <c r="F142" s="316">
        <f t="shared" si="32"/>
        <v>209214.52765611</v>
      </c>
    </row>
    <row r="143" spans="1:6" ht="14.5" customHeight="1" x14ac:dyDescent="0.2">
      <c r="B143" s="21" t="s">
        <v>286</v>
      </c>
      <c r="C143" s="98">
        <v>0</v>
      </c>
      <c r="D143" s="98">
        <v>0</v>
      </c>
      <c r="E143" s="98">
        <f>+IF($C$96="Yes",C171*'2. Users, Visits, Revenue'!$F$41*C125*12,0)</f>
        <v>504468.56018216268</v>
      </c>
      <c r="F143" s="98">
        <f>+E143*(1+'2. Users, Visits, Revenue'!F$45)</f>
        <v>519602.61698762758</v>
      </c>
    </row>
    <row r="144" spans="1:6" ht="14.5" customHeight="1" x14ac:dyDescent="0.2">
      <c r="B144" s="249" t="s">
        <v>174</v>
      </c>
      <c r="C144" s="244">
        <f>+IF($C$93="FFS",SUM(C138:C140),SUM(C141:C143))</f>
        <v>2280066.7702992628</v>
      </c>
      <c r="D144" s="244">
        <f>+IF($C$93="FFS",SUM(D138:D140),SUM(D141:D143))</f>
        <v>2348468.7734082406</v>
      </c>
      <c r="E144" s="244">
        <f>+IF($C$93="FFS",SUM(E138:E140),SUM(E141:E143))</f>
        <v>2996646.9567752299</v>
      </c>
      <c r="F144" s="244">
        <f>+IF($C$93="FFS",SUM(F138:F140),SUM(F141:F143))</f>
        <v>3086546.3654784868</v>
      </c>
    </row>
    <row r="145" spans="1:13" ht="14.5" customHeight="1" x14ac:dyDescent="0.2">
      <c r="C145" s="211" t="s">
        <v>381</v>
      </c>
      <c r="D145" s="78"/>
      <c r="E145" s="78"/>
      <c r="F145" s="78"/>
      <c r="G145" s="78"/>
    </row>
    <row r="146" spans="1:13" ht="14.5" customHeight="1" x14ac:dyDescent="0.2"/>
    <row r="147" spans="1:13" ht="14.5" customHeight="1" x14ac:dyDescent="0.2">
      <c r="B147" s="248" t="s">
        <v>177</v>
      </c>
      <c r="C147" s="248" t="s">
        <v>376</v>
      </c>
      <c r="D147" s="248" t="s">
        <v>377</v>
      </c>
      <c r="E147" s="248" t="s">
        <v>378</v>
      </c>
      <c r="F147" s="100" t="s">
        <v>379</v>
      </c>
    </row>
    <row r="148" spans="1:13" ht="14.5" customHeight="1" x14ac:dyDescent="0.2">
      <c r="B148" s="18" t="s">
        <v>384</v>
      </c>
      <c r="C148" s="14">
        <f>+I90*(1+'2. Users, Visits, Revenue'!C$50)</f>
        <v>1252435</v>
      </c>
      <c r="D148" s="14">
        <f>+C148*(1+'2. Users, Visits, Revenue'!D$50)</f>
        <v>1340105.4500000002</v>
      </c>
      <c r="E148" s="14">
        <f>+D148*(1+'2. Users, Visits, Revenue'!E$50)</f>
        <v>1433912.8315000003</v>
      </c>
      <c r="F148" s="14">
        <f>+E148*(1+'2. Users, Visits, Revenue'!F$50)</f>
        <v>1534286.7297050005</v>
      </c>
    </row>
    <row r="149" spans="1:13" ht="14.5" customHeight="1" x14ac:dyDescent="0.2">
      <c r="B149" s="18" t="s">
        <v>391</v>
      </c>
      <c r="C149" s="14">
        <f>+'1. Staffing and Salary Cost'!H41*'2. Users, Visits, Revenue'!C$50</f>
        <v>317065.00000000006</v>
      </c>
      <c r="D149" s="14">
        <f>+C149*(1+'2. Users, Visits, Revenue'!D$50)</f>
        <v>339259.5500000001</v>
      </c>
      <c r="E149" s="14">
        <f>+D149*(1+'2. Users, Visits, Revenue'!E$50)</f>
        <v>363007.71850000013</v>
      </c>
      <c r="F149" s="14">
        <f>+E149*(1+'2. Users, Visits, Revenue'!F$50)</f>
        <v>388418.25879500015</v>
      </c>
    </row>
    <row r="150" spans="1:13" ht="14.5" customHeight="1" x14ac:dyDescent="0.2">
      <c r="B150" s="18" t="s">
        <v>390</v>
      </c>
      <c r="C150" s="14">
        <f>+D161*(H116-D116)*(1+'2. Users, Visits, Revenue'!C$55)</f>
        <v>537126.48648648639</v>
      </c>
      <c r="D150" s="14">
        <f>+C150*(1+'2. Users, Visits, Revenue'!D$55)</f>
        <v>547869.01621621614</v>
      </c>
      <c r="E150" s="14">
        <f>+D150*(1+'2. Users, Visits, Revenue'!E$55)</f>
        <v>558826.3965405405</v>
      </c>
      <c r="F150" s="14">
        <f>+E150*(1+'2. Users, Visits, Revenue'!F$55)</f>
        <v>570002.92447135132</v>
      </c>
    </row>
    <row r="151" spans="1:13" ht="14.5" customHeight="1" x14ac:dyDescent="0.2">
      <c r="B151" s="18" t="s">
        <v>392</v>
      </c>
      <c r="C151" s="14">
        <f>+'3. Administrative Costs'!C16*'2. Users, Visits, Revenue'!C$55</f>
        <v>75825</v>
      </c>
      <c r="D151" s="14">
        <f>+C151*(1+'2. Users, Visits, Revenue'!D$55)</f>
        <v>77341.5</v>
      </c>
      <c r="E151" s="14">
        <f>+D151*(1+'2. Users, Visits, Revenue'!E$55)</f>
        <v>78888.33</v>
      </c>
      <c r="F151" s="14">
        <f>+E151*(1+'2. Users, Visits, Revenue'!F$55)</f>
        <v>80466.096600000004</v>
      </c>
    </row>
    <row r="152" spans="1:13" ht="14.5" customHeight="1" x14ac:dyDescent="0.2">
      <c r="B152" s="18" t="s">
        <v>212</v>
      </c>
      <c r="C152" s="14">
        <f>+'6. PHMI Expense and Grants'!C28</f>
        <v>245000</v>
      </c>
      <c r="D152" s="14">
        <f>+'6. PHMI Expense and Grants'!D28</f>
        <v>262150</v>
      </c>
      <c r="E152" s="14">
        <f>+'6. PHMI Expense and Grants'!E28</f>
        <v>280500.5</v>
      </c>
      <c r="F152" s="14">
        <f>+'6. PHMI Expense and Grants'!F28</f>
        <v>300135.53499999997</v>
      </c>
    </row>
    <row r="153" spans="1:13" ht="14.5" customHeight="1" x14ac:dyDescent="0.2">
      <c r="B153" s="18" t="s">
        <v>214</v>
      </c>
      <c r="C153" s="14">
        <f>+'6. PHMI Expense and Grants'!C45</f>
        <v>300000</v>
      </c>
      <c r="D153" s="14">
        <f>+'6. PHMI Expense and Grants'!D45</f>
        <v>321000</v>
      </c>
      <c r="E153" s="14">
        <f>+'6. PHMI Expense and Grants'!E45</f>
        <v>343470</v>
      </c>
      <c r="F153" s="14">
        <f>+'6. PHMI Expense and Grants'!F45</f>
        <v>367512.9</v>
      </c>
    </row>
    <row r="154" spans="1:13" ht="14.5" customHeight="1" x14ac:dyDescent="0.2">
      <c r="B154" s="249" t="s">
        <v>175</v>
      </c>
      <c r="C154" s="244">
        <f>SUM(C148:C153)</f>
        <v>2727451.4864864862</v>
      </c>
      <c r="D154" s="244">
        <f>SUM(D148:D153)</f>
        <v>2887725.5162162166</v>
      </c>
      <c r="E154" s="244">
        <f>SUM(E148:E153)</f>
        <v>3058605.7765405411</v>
      </c>
      <c r="F154" s="244">
        <f>SUM(F148:F153)</f>
        <v>3240822.4445713521</v>
      </c>
    </row>
    <row r="155" spans="1:13" ht="14.5" customHeight="1" x14ac:dyDescent="0.2"/>
    <row r="156" spans="1:13" ht="14.5" customHeight="1" x14ac:dyDescent="0.25">
      <c r="A156" s="75"/>
      <c r="C156" s="113" t="s">
        <v>395</v>
      </c>
      <c r="D156" s="113"/>
      <c r="E156" s="113"/>
      <c r="F156" s="113"/>
    </row>
    <row r="157" spans="1:13" ht="80" x14ac:dyDescent="0.25">
      <c r="A157" s="75"/>
      <c r="B157" s="113" t="s">
        <v>400</v>
      </c>
      <c r="C157" s="100" t="s">
        <v>396</v>
      </c>
      <c r="D157" s="100" t="s">
        <v>397</v>
      </c>
      <c r="E157" s="100" t="s">
        <v>398</v>
      </c>
      <c r="F157" s="100" t="s">
        <v>399</v>
      </c>
    </row>
    <row r="158" spans="1:13" ht="14.5" customHeight="1" x14ac:dyDescent="0.25">
      <c r="A158" s="75"/>
      <c r="B158" s="19" t="s">
        <v>139</v>
      </c>
      <c r="C158" s="28">
        <f>+IF('2. Users, Visits, Revenue'!K20=0,0,'1. Staffing and Salary Cost'!H41/'2. Users, Visits, Revenue'!K20)</f>
        <v>122.41891891891892</v>
      </c>
      <c r="D158" s="28">
        <f>+IF($C$103=0,0,('1. Staffing and Salary Cost'!H41+I90)/$C$103)</f>
        <v>114.02432518937374</v>
      </c>
      <c r="E158" s="28">
        <f>+IF($C$103=0,0,(SUMPRODUCT(H59:H88,L59:L88))/$C$103)</f>
        <v>114.02432518937374</v>
      </c>
      <c r="F158" s="28">
        <f>+E158*(1+'2. Users, Visits, Revenue'!C50)*(1+'2. Users, Visits, Revenue'!D50)</f>
        <v>130.54644990931402</v>
      </c>
    </row>
    <row r="159" spans="1:13" ht="14.5" customHeight="1" x14ac:dyDescent="0.25">
      <c r="A159" s="75"/>
      <c r="B159" s="18" t="s">
        <v>138</v>
      </c>
      <c r="C159" s="13">
        <f>+'3. Administrative Costs'!$C$21</f>
        <v>21.385135135135137</v>
      </c>
      <c r="D159" s="13">
        <f>+IF($C$103=0,0,'3. Administrative Costs'!$C$11/$C$103)</f>
        <v>15.828376720367013</v>
      </c>
      <c r="E159" s="13">
        <f>+D159</f>
        <v>15.828376720367013</v>
      </c>
      <c r="F159" s="13">
        <f>+E159*(1+'2. Users, Visits, Revenue'!C$55)*(1+'2. Users, Visits, Revenue'!D$55)</f>
        <v>16.467843139869839</v>
      </c>
    </row>
    <row r="160" spans="1:13" ht="14.5" customHeight="1" x14ac:dyDescent="0.25">
      <c r="A160" s="75"/>
      <c r="B160" s="18" t="s">
        <v>238</v>
      </c>
      <c r="C160" s="13">
        <f>+'3. Administrative Costs'!$C$23</f>
        <v>40.54054054054054</v>
      </c>
      <c r="D160" s="13">
        <f>IF($C$103=0,0,('3. Administrative Costs'!$C$15+C152+C153)/$C$103)</f>
        <v>40.908727195134965</v>
      </c>
      <c r="E160" s="13">
        <f>+D160</f>
        <v>40.908727195134965</v>
      </c>
      <c r="F160" s="13">
        <f>+E160*(1+'2. Users, Visits, Revenue'!C$55)*(1+'2. Users, Visits, Revenue'!D$55)</f>
        <v>42.561439773818421</v>
      </c>
      <c r="H160" s="186"/>
      <c r="I160" s="186"/>
      <c r="J160" s="186"/>
      <c r="K160" s="197"/>
      <c r="L160" s="197"/>
      <c r="M160" s="197"/>
    </row>
    <row r="161" spans="1:13" ht="14.5" customHeight="1" thickBot="1" x14ac:dyDescent="0.3">
      <c r="A161" s="75"/>
      <c r="B161" s="111" t="s">
        <v>239</v>
      </c>
      <c r="C161" s="39">
        <f>+'3. Administrative Costs'!$C$22</f>
        <v>40.54054054054054</v>
      </c>
      <c r="D161" s="39">
        <f>+C161</f>
        <v>40.54054054054054</v>
      </c>
      <c r="E161" s="39">
        <f>+D161</f>
        <v>40.54054054054054</v>
      </c>
      <c r="F161" s="39">
        <f>+E161*(1+'2. Users, Visits, Revenue'!C$55)*(1+'2. Users, Visits, Revenue'!D$55)</f>
        <v>42.178378378378383</v>
      </c>
      <c r="H161" s="186"/>
      <c r="I161" s="186"/>
      <c r="J161" s="186"/>
      <c r="K161" s="197"/>
      <c r="L161" s="197"/>
      <c r="M161" s="197"/>
    </row>
    <row r="162" spans="1:13" ht="14.5" customHeight="1" thickTop="1" x14ac:dyDescent="0.25">
      <c r="A162" s="75"/>
      <c r="B162" s="42" t="s">
        <v>17</v>
      </c>
      <c r="C162" s="41">
        <f>SUM(C158:C161)</f>
        <v>224.88513513513516</v>
      </c>
      <c r="D162" s="41">
        <f>SUM(D158:D161)</f>
        <v>211.30196964541625</v>
      </c>
      <c r="E162" s="41">
        <f>SUM(E158:E161)</f>
        <v>211.30196964541625</v>
      </c>
      <c r="F162" s="41">
        <f>SUM(F158:F161)</f>
        <v>231.75411120138068</v>
      </c>
      <c r="H162" s="186"/>
      <c r="I162" s="186"/>
      <c r="J162" s="186"/>
      <c r="K162" s="197"/>
      <c r="L162" s="197"/>
      <c r="M162" s="197"/>
    </row>
    <row r="163" spans="1:13" ht="14.5" customHeight="1" x14ac:dyDescent="0.25">
      <c r="A163" s="75"/>
      <c r="H163" s="186"/>
      <c r="I163" s="186"/>
      <c r="J163" s="186"/>
      <c r="K163" s="197"/>
      <c r="L163" s="197"/>
      <c r="M163" s="197"/>
    </row>
    <row r="164" spans="1:13" ht="14.5" customHeight="1" x14ac:dyDescent="0.25">
      <c r="A164" s="75"/>
      <c r="B164" s="113" t="s">
        <v>287</v>
      </c>
      <c r="C164" s="113"/>
      <c r="H164" s="186"/>
      <c r="I164" s="186"/>
      <c r="J164" s="186"/>
      <c r="K164" s="197"/>
      <c r="L164" s="197"/>
      <c r="M164" s="197"/>
    </row>
    <row r="165" spans="1:13" ht="14.5" customHeight="1" x14ac:dyDescent="0.25">
      <c r="A165" s="75"/>
      <c r="B165" s="24" t="s">
        <v>282</v>
      </c>
      <c r="C165" s="8">
        <v>0.8</v>
      </c>
      <c r="H165" s="186"/>
      <c r="I165" s="186"/>
      <c r="J165" s="186"/>
      <c r="K165" s="197"/>
      <c r="L165" s="197"/>
      <c r="M165" s="197"/>
    </row>
    <row r="166" spans="1:13" ht="14.5" customHeight="1" x14ac:dyDescent="0.25">
      <c r="A166" s="75"/>
      <c r="B166" s="6" t="s">
        <v>403</v>
      </c>
      <c r="C166" s="257">
        <f>+IF(SUM('2. Users, Visits, Revenue'!J12:J13)=0,0,SUM('2. Users, Visits, Revenue'!I12:I13)/SUM('2. Users, Visits, Revenue'!J12:J13))</f>
        <v>200.82802713629823</v>
      </c>
      <c r="H166" s="186"/>
      <c r="I166" s="186"/>
      <c r="J166" s="186"/>
      <c r="K166" s="197"/>
      <c r="L166" s="197"/>
      <c r="M166" s="197"/>
    </row>
    <row r="167" spans="1:13" ht="14.5" customHeight="1" x14ac:dyDescent="0.25">
      <c r="A167" s="75"/>
      <c r="B167" s="6" t="s">
        <v>401</v>
      </c>
      <c r="C167" s="257">
        <f>+C166*(1+'2. Users, Visits, Revenue'!C45)*(1+'2. Users, Visits, Revenue'!D45)</f>
        <v>213.0584539888988</v>
      </c>
      <c r="H167" s="186"/>
      <c r="I167" s="186"/>
      <c r="J167" s="186"/>
      <c r="K167" s="197"/>
      <c r="L167" s="197"/>
      <c r="M167" s="197"/>
    </row>
    <row r="168" spans="1:13" ht="14.5" customHeight="1" x14ac:dyDescent="0.25">
      <c r="A168" s="75"/>
      <c r="B168" s="6" t="s">
        <v>402</v>
      </c>
      <c r="C168" s="257">
        <f>+F162</f>
        <v>231.75411120138068</v>
      </c>
      <c r="H168" s="186"/>
      <c r="I168" s="186"/>
      <c r="J168" s="186"/>
      <c r="K168" s="197"/>
      <c r="L168" s="197"/>
      <c r="M168" s="197"/>
    </row>
    <row r="169" spans="1:13" ht="14.5" customHeight="1" x14ac:dyDescent="0.25">
      <c r="A169" s="75"/>
      <c r="B169" s="6" t="s">
        <v>405</v>
      </c>
      <c r="C169" s="257">
        <f>+C168-C167</f>
        <v>18.695657212481876</v>
      </c>
      <c r="D169" s="255"/>
      <c r="H169" s="186"/>
      <c r="I169" s="186"/>
      <c r="J169" s="186"/>
      <c r="K169" s="197"/>
      <c r="L169" s="197"/>
      <c r="M169" s="197"/>
    </row>
    <row r="170" spans="1:13" ht="14.5" customHeight="1" x14ac:dyDescent="0.25">
      <c r="A170" s="75"/>
      <c r="B170" s="6" t="s">
        <v>404</v>
      </c>
      <c r="C170" s="257">
        <f>+C169*C165</f>
        <v>14.956525769985502</v>
      </c>
      <c r="D170" s="255"/>
      <c r="H170" s="186"/>
      <c r="I170" s="186"/>
      <c r="J170" s="186"/>
      <c r="K170" s="197"/>
      <c r="L170" s="197"/>
      <c r="M170" s="197"/>
    </row>
    <row r="171" spans="1:13" ht="14.5" customHeight="1" x14ac:dyDescent="0.25">
      <c r="A171" s="75"/>
      <c r="B171" s="6" t="s">
        <v>281</v>
      </c>
      <c r="C171" s="258">
        <f>+IF(C166=0,0,C170/C166)</f>
        <v>7.4474295163168572E-2</v>
      </c>
      <c r="D171" s="255"/>
      <c r="H171" s="186"/>
      <c r="I171" s="186"/>
      <c r="J171" s="186"/>
      <c r="K171" s="197"/>
      <c r="L171" s="197"/>
      <c r="M171" s="197"/>
    </row>
    <row r="172" spans="1:13" ht="14.5" customHeight="1" thickBot="1" x14ac:dyDescent="0.3">
      <c r="A172" s="75"/>
      <c r="B172" s="30" t="s">
        <v>71</v>
      </c>
      <c r="C172" s="45">
        <f>+H108+H109</f>
        <v>38626.892972972972</v>
      </c>
      <c r="H172" s="186"/>
      <c r="I172" s="186"/>
      <c r="J172" s="186"/>
      <c r="K172" s="197"/>
      <c r="L172" s="197"/>
      <c r="M172" s="197"/>
    </row>
    <row r="173" spans="1:13" ht="14.5" customHeight="1" thickTop="1" x14ac:dyDescent="0.25">
      <c r="A173" s="75"/>
      <c r="B173" s="259" t="s">
        <v>72</v>
      </c>
      <c r="C173" s="40">
        <f>+C172*C170</f>
        <v>577724.12016474211</v>
      </c>
      <c r="H173" s="186"/>
      <c r="I173" s="186"/>
      <c r="J173" s="186"/>
    </row>
    <row r="174" spans="1:13" ht="14.5" customHeight="1" x14ac:dyDescent="0.25">
      <c r="A174" s="75"/>
      <c r="H174" s="186"/>
      <c r="I174" s="186"/>
      <c r="J174" s="186"/>
    </row>
    <row r="175" spans="1:13" ht="19" x14ac:dyDescent="0.25">
      <c r="A175" s="75" t="s">
        <v>235</v>
      </c>
      <c r="H175" s="186"/>
      <c r="I175" s="186"/>
      <c r="J175" s="186"/>
    </row>
    <row r="176" spans="1:13" ht="17" x14ac:dyDescent="0.2">
      <c r="B176" s="29" t="s">
        <v>77</v>
      </c>
      <c r="C176" s="29"/>
      <c r="D176" s="29"/>
      <c r="E176" s="29"/>
      <c r="F176" s="29"/>
      <c r="G176" s="29"/>
      <c r="H176" s="186"/>
      <c r="I176" s="186"/>
      <c r="J176" s="186"/>
    </row>
    <row r="177" spans="1:10" ht="17" x14ac:dyDescent="0.2">
      <c r="B177" s="29" t="s">
        <v>78</v>
      </c>
      <c r="C177" s="23"/>
      <c r="D177" s="23"/>
      <c r="E177" s="23" t="s">
        <v>73</v>
      </c>
      <c r="F177" s="23" t="s">
        <v>74</v>
      </c>
      <c r="G177" s="23" t="s">
        <v>75</v>
      </c>
      <c r="H177" s="186"/>
      <c r="I177" s="186"/>
      <c r="J177" s="186"/>
    </row>
    <row r="178" spans="1:10" x14ac:dyDescent="0.2">
      <c r="B178" s="19" t="s">
        <v>89</v>
      </c>
      <c r="C178" s="46"/>
      <c r="D178" s="46"/>
      <c r="E178" s="12">
        <f>+'2. Users, Visits, Revenue'!C26</f>
        <v>17455</v>
      </c>
      <c r="F178" s="12">
        <f>+C121</f>
        <v>20317.62</v>
      </c>
      <c r="G178" s="253">
        <f>+F178-E178</f>
        <v>2862.619999999999</v>
      </c>
      <c r="H178" s="186"/>
      <c r="I178" s="186"/>
      <c r="J178" s="186"/>
    </row>
    <row r="179" spans="1:10" x14ac:dyDescent="0.2">
      <c r="B179" s="18" t="s">
        <v>88</v>
      </c>
      <c r="C179" s="47"/>
      <c r="D179" s="47"/>
      <c r="E179" s="10">
        <f>+IF('2. Users, Visits, Revenue'!C26=0,0,E180/'2. Users, Visits, Revenue'!C26)</f>
        <v>0.54425665998281292</v>
      </c>
      <c r="F179" s="10">
        <f>+E179-C123</f>
        <v>0.55425665998281293</v>
      </c>
      <c r="G179" s="10">
        <f>+F179-E179</f>
        <v>1.0000000000000009E-2</v>
      </c>
      <c r="H179" s="186"/>
      <c r="I179" s="186"/>
      <c r="J179" s="186"/>
    </row>
    <row r="180" spans="1:10" x14ac:dyDescent="0.2">
      <c r="B180" s="18" t="s">
        <v>90</v>
      </c>
      <c r="C180" s="47"/>
      <c r="D180" s="47"/>
      <c r="E180" s="12">
        <f>+'2. Users, Visits, Revenue'!D26</f>
        <v>9500</v>
      </c>
      <c r="F180" s="49">
        <f>+F178*F179</f>
        <v>11261.1762</v>
      </c>
      <c r="G180" s="254">
        <f>+F180-E180</f>
        <v>1761.1761999999999</v>
      </c>
      <c r="H180" s="186"/>
      <c r="I180" s="186"/>
      <c r="J180" s="186"/>
    </row>
    <row r="181" spans="1:10" x14ac:dyDescent="0.2">
      <c r="B181" s="21" t="s">
        <v>91</v>
      </c>
      <c r="C181" s="48"/>
      <c r="D181" s="48"/>
      <c r="E181" s="22">
        <f>+E178-E180</f>
        <v>7955</v>
      </c>
      <c r="F181" s="50">
        <f>+F178-F180</f>
        <v>9056.4437999999991</v>
      </c>
      <c r="G181" s="50">
        <f>+F181-E181</f>
        <v>1101.4437999999991</v>
      </c>
      <c r="I181" s="186"/>
    </row>
    <row r="182" spans="1:10" x14ac:dyDescent="0.2">
      <c r="B182" s="186"/>
      <c r="C182" s="186"/>
      <c r="D182" s="195"/>
      <c r="E182" s="195"/>
      <c r="F182" s="195"/>
      <c r="I182" s="186"/>
    </row>
    <row r="183" spans="1:10" ht="19" x14ac:dyDescent="0.25">
      <c r="A183" s="75" t="s">
        <v>334</v>
      </c>
      <c r="I183" s="186"/>
    </row>
    <row r="184" spans="1:10" ht="17" x14ac:dyDescent="0.2">
      <c r="B184" s="29" t="s">
        <v>76</v>
      </c>
      <c r="C184" s="29"/>
      <c r="D184" s="29"/>
      <c r="E184" s="29"/>
      <c r="F184" s="29"/>
    </row>
    <row r="185" spans="1:10" ht="102" x14ac:dyDescent="0.2">
      <c r="B185" s="5" t="s">
        <v>0</v>
      </c>
      <c r="C185" s="5" t="s">
        <v>66</v>
      </c>
      <c r="D185" s="5" t="s">
        <v>58</v>
      </c>
      <c r="E185" s="5" t="s">
        <v>303</v>
      </c>
      <c r="F185" s="5" t="s">
        <v>31</v>
      </c>
    </row>
    <row r="186" spans="1:10" ht="16" x14ac:dyDescent="0.2">
      <c r="B186" s="236" t="str">
        <f>+'1. Staffing and Salary Cost'!$B$9</f>
        <v>CORE TEAM MEMBERS</v>
      </c>
      <c r="C186" s="121"/>
      <c r="D186" s="121"/>
      <c r="E186" s="121"/>
      <c r="F186" s="121"/>
    </row>
    <row r="187" spans="1:10" x14ac:dyDescent="0.2">
      <c r="B187" s="24" t="str">
        <f>+'1. Staffing and Salary Cost'!$B$10</f>
        <v>Physician (MD/DO)</v>
      </c>
      <c r="C187" s="11">
        <f>+E59</f>
        <v>6</v>
      </c>
      <c r="D187" s="32">
        <f>+INDEX('7. PHMI Care Team Example'!$C$10:$C$28,MATCH($B187,'7. PHMI Care Team Example'!$B$10:$B$28,0))</f>
        <v>1250</v>
      </c>
      <c r="E187" s="12">
        <f>+IF((C187+C188+C189)=0,0,($K$51+'8. Care Team Simulation'!$G$180)/(C187+C188+C189))</f>
        <v>1736.7646833333336</v>
      </c>
      <c r="F187" s="11">
        <f>+IF($K$50=0,0,(C187+C188+C189)/$K$50)</f>
        <v>1</v>
      </c>
      <c r="H187" s="2"/>
    </row>
    <row r="188" spans="1:10" x14ac:dyDescent="0.2">
      <c r="B188" s="6" t="str">
        <f>+'1. Staffing and Salary Cost'!$B$11</f>
        <v>Nurse Practitioner (NP)</v>
      </c>
      <c r="C188" s="11">
        <f>+E60</f>
        <v>3</v>
      </c>
      <c r="D188" s="32">
        <f>+INDEX('7. PHMI Care Team Example'!$C$10:$C$28,MATCH($B188,'7. PHMI Care Team Example'!$B$10:$B$28,0))</f>
        <v>1250</v>
      </c>
      <c r="E188" s="12">
        <f t="shared" ref="E188:E189" si="33">+E187</f>
        <v>1736.7646833333336</v>
      </c>
      <c r="F188" s="11">
        <f t="shared" ref="F188:F189" si="34">+F187</f>
        <v>1</v>
      </c>
      <c r="H188" s="2"/>
    </row>
    <row r="189" spans="1:10" ht="16" thickBot="1" x14ac:dyDescent="0.25">
      <c r="B189" s="30" t="str">
        <f>+'1. Staffing and Salary Cost'!$B$12</f>
        <v>Physician Assistant (PA)</v>
      </c>
      <c r="C189" s="108">
        <f>+E61</f>
        <v>3</v>
      </c>
      <c r="D189" s="56">
        <f>+INDEX('7. PHMI Care Team Example'!$C$10:$C$28,MATCH($B189,'7. PHMI Care Team Example'!$B$10:$B$28,0))</f>
        <v>1250</v>
      </c>
      <c r="E189" s="45">
        <f t="shared" si="33"/>
        <v>1736.7646833333336</v>
      </c>
      <c r="F189" s="108">
        <f t="shared" si="34"/>
        <v>1</v>
      </c>
      <c r="H189" s="2"/>
    </row>
    <row r="190" spans="1:10" ht="17" thickTop="1" x14ac:dyDescent="0.2">
      <c r="B190" s="118" t="str">
        <f>+'1. Staffing and Salary Cost'!$B$13</f>
        <v>PCP subtotal</v>
      </c>
      <c r="C190" s="131">
        <f>SUM(C187:C189)</f>
        <v>12</v>
      </c>
      <c r="D190" s="132">
        <f>+INDEX('7. PHMI Care Team Example'!$C$10:$C$28,MATCH($B190,'7. PHMI Care Team Example'!$B$10:$B$28,0))</f>
        <v>1250</v>
      </c>
      <c r="E190" s="133">
        <f>+E189</f>
        <v>1736.7646833333336</v>
      </c>
      <c r="F190" s="131">
        <f>+F189</f>
        <v>1</v>
      </c>
      <c r="H190" s="2"/>
    </row>
    <row r="191" spans="1:10" x14ac:dyDescent="0.2">
      <c r="B191" s="6" t="str">
        <f>+'1. Staffing and Salary Cost'!$B$14</f>
        <v>BH Provider (LCSW/MFT or other)</v>
      </c>
      <c r="C191" s="11">
        <f>+E63</f>
        <v>6</v>
      </c>
      <c r="D191" s="32">
        <f>+INDEX('7. PHMI Care Team Example'!$C$10:$C$28,MATCH($B191,'7. PHMI Care Team Example'!$B$10:$B$28,0))</f>
        <v>2500</v>
      </c>
      <c r="E191" s="12">
        <f>+E195</f>
        <v>2894.6078055555558</v>
      </c>
      <c r="F191" s="11">
        <f>+F195</f>
        <v>0.6</v>
      </c>
      <c r="H191" s="2"/>
    </row>
    <row r="192" spans="1:10" x14ac:dyDescent="0.2">
      <c r="B192" s="6" t="str">
        <f>+'1. Staffing and Salary Cost'!$B$15</f>
        <v>Medical Assistant (MA)</v>
      </c>
      <c r="C192" s="11">
        <f>+E64</f>
        <v>12</v>
      </c>
      <c r="D192" s="32">
        <f>+INDEX('7. PHMI Care Team Example'!$C$10:$C$28,MATCH($B192,'7. PHMI Care Team Example'!$B$10:$B$28,0))</f>
        <v>1250</v>
      </c>
      <c r="E192" s="12">
        <f>+IF(C192=0,0,($K$51+'8. Care Team Simulation'!$G$180)/C192)</f>
        <v>1736.7646833333336</v>
      </c>
      <c r="F192" s="11">
        <f>+IF($K$50=0,0,C192/$K$50)</f>
        <v>1</v>
      </c>
      <c r="H192" s="2"/>
    </row>
    <row r="193" spans="1:8" x14ac:dyDescent="0.2">
      <c r="B193" s="116" t="str">
        <f>+'1. Staffing and Salary Cost'!$B$16</f>
        <v>Community Health Worker (CHW)/Peer Support</v>
      </c>
      <c r="C193" s="11">
        <f>+E65</f>
        <v>6</v>
      </c>
      <c r="D193" s="32">
        <f>+INDEX('7. PHMI Care Team Example'!$C$10:$C$28,MATCH($B193,'7. PHMI Care Team Example'!$B$10:$B$28,0))</f>
        <v>2500</v>
      </c>
      <c r="E193" s="12">
        <f>+IF(C193=0,0,($K$51+'8. Care Team Simulation'!$G$180)/C193)</f>
        <v>3473.5293666666671</v>
      </c>
      <c r="F193" s="11">
        <f>+IF($K$50=0,0,C193/$K$50)</f>
        <v>0.5</v>
      </c>
      <c r="H193" s="2"/>
    </row>
    <row r="194" spans="1:8" ht="16" x14ac:dyDescent="0.2">
      <c r="B194" s="236" t="str">
        <f>+'1. Staffing and Salary Cost'!$B$18</f>
        <v>EXPANDED TEAM MEMBERS</v>
      </c>
      <c r="C194" s="121"/>
      <c r="D194" s="121"/>
      <c r="E194" s="121"/>
      <c r="F194" s="121"/>
      <c r="H194" s="2"/>
    </row>
    <row r="195" spans="1:8" x14ac:dyDescent="0.2">
      <c r="B195" s="24" t="str">
        <f>+'1. Staffing and Salary Cost'!$B$19</f>
        <v>Clinical Psychologist</v>
      </c>
      <c r="C195" s="11">
        <f t="shared" ref="C195:C204" si="35">+E68</f>
        <v>1.2000000000000002</v>
      </c>
      <c r="D195" s="32">
        <f>+INDEX('7. PHMI Care Team Example'!$C$10:$C$28,MATCH($B195,'7. PHMI Care Team Example'!$B$10:$B$28,0))</f>
        <v>12500</v>
      </c>
      <c r="E195" s="12">
        <f>+IF((C195+C191)=0,0,($K$51+'8. Care Team Simulation'!$G$180)/(C195+C191))</f>
        <v>2894.6078055555558</v>
      </c>
      <c r="F195" s="11">
        <f>+IF($K$50=0,0,(C195+C191)/$K$50)</f>
        <v>0.6</v>
      </c>
      <c r="H195" s="2"/>
    </row>
    <row r="196" spans="1:8" x14ac:dyDescent="0.2">
      <c r="B196" s="6" t="str">
        <f>+'1. Staffing and Salary Cost'!$B$20</f>
        <v>Triage Nurse and Clinic Oversight (RN/LVN)</v>
      </c>
      <c r="C196" s="11">
        <f t="shared" si="35"/>
        <v>1.7999999999999998</v>
      </c>
      <c r="D196" s="32">
        <f>+INDEX('7. PHMI Care Team Example'!$C$10:$C$28,MATCH($B196,'7. PHMI Care Team Example'!$B$10:$B$28,0))</f>
        <v>8333.3333333333339</v>
      </c>
      <c r="E196" s="12">
        <f>+IF(C196=0,0,($K$51+'8. Care Team Simulation'!$G$180)/C196)</f>
        <v>11578.431222222225</v>
      </c>
      <c r="F196" s="11">
        <f t="shared" ref="F196:F205" si="36">+IF($K$50=0,0,C196/$K$50)</f>
        <v>0.15</v>
      </c>
      <c r="H196" s="2"/>
    </row>
    <row r="197" spans="1:8" x14ac:dyDescent="0.2">
      <c r="B197" s="6" t="str">
        <f>+'1. Staffing and Salary Cost'!$B$21</f>
        <v>Clinical Pharmacist</v>
      </c>
      <c r="C197" s="11">
        <f t="shared" si="35"/>
        <v>1.2000000000000002</v>
      </c>
      <c r="D197" s="32">
        <f>+INDEX('7. PHMI Care Team Example'!$C$10:$C$28,MATCH($B197,'7. PHMI Care Team Example'!$B$10:$B$28,0))</f>
        <v>12500</v>
      </c>
      <c r="E197" s="12">
        <f>+IF(C197=0,0,($K$51+'8. Care Team Simulation'!$G$180)/C197)</f>
        <v>17367.646833333332</v>
      </c>
      <c r="F197" s="11">
        <f t="shared" si="36"/>
        <v>0.10000000000000002</v>
      </c>
      <c r="H197" s="2"/>
    </row>
    <row r="198" spans="1:8" x14ac:dyDescent="0.2">
      <c r="B198" s="6" t="str">
        <f>+'1. Staffing and Salary Cost'!$B$22</f>
        <v xml:space="preserve">Psychiatrist or Psychiatric Mental Health Nurse Practitioner </v>
      </c>
      <c r="C198" s="11">
        <f t="shared" si="35"/>
        <v>1.2000000000000002</v>
      </c>
      <c r="D198" s="32">
        <f>+INDEX('7. PHMI Care Team Example'!$C$10:$C$28,MATCH($B198,'7. PHMI Care Team Example'!$B$10:$B$28,0))</f>
        <v>12500</v>
      </c>
      <c r="E198" s="12">
        <f>+IF(C198=0,0,($K$51+'8. Care Team Simulation'!$G$180)/C198)</f>
        <v>17367.646833333332</v>
      </c>
      <c r="F198" s="11">
        <f t="shared" si="36"/>
        <v>0.10000000000000002</v>
      </c>
      <c r="H198" s="2"/>
    </row>
    <row r="199" spans="1:8" x14ac:dyDescent="0.2">
      <c r="B199" s="6" t="str">
        <f>+'1. Staffing and Salary Cost'!$B$23</f>
        <v>QI Lead</v>
      </c>
      <c r="C199" s="11">
        <f t="shared" si="35"/>
        <v>0.36</v>
      </c>
      <c r="D199" s="32">
        <f>+INDEX('7. PHMI Care Team Example'!$C$10:$C$28,MATCH($B199,'7. PHMI Care Team Example'!$B$10:$B$28,0))</f>
        <v>41666.666666666672</v>
      </c>
      <c r="E199" s="12">
        <f>+IF(C199=0,0,($K$51+'8. Care Team Simulation'!$G$180)/C199)</f>
        <v>57892.156111111115</v>
      </c>
      <c r="F199" s="11">
        <f t="shared" si="36"/>
        <v>0.03</v>
      </c>
      <c r="H199" s="2"/>
    </row>
    <row r="200" spans="1:8" x14ac:dyDescent="0.2">
      <c r="B200" s="6" t="str">
        <f>+'1. Staffing and Salary Cost'!$B$24</f>
        <v>Panel Manager/Data Analyst</v>
      </c>
      <c r="C200" s="11">
        <f t="shared" si="35"/>
        <v>1.2000000000000002</v>
      </c>
      <c r="D200" s="32">
        <f>+INDEX('7. PHMI Care Team Example'!$C$10:$C$28,MATCH($B200,'7. PHMI Care Team Example'!$B$10:$B$28,0))</f>
        <v>12500</v>
      </c>
      <c r="E200" s="12">
        <f>+IF(C200=0,0,($K$51+'8. Care Team Simulation'!$G$180)/C200)</f>
        <v>17367.646833333332</v>
      </c>
      <c r="F200" s="11">
        <f t="shared" si="36"/>
        <v>0.10000000000000002</v>
      </c>
      <c r="H200" s="2"/>
    </row>
    <row r="201" spans="1:8" x14ac:dyDescent="0.2">
      <c r="B201" s="6" t="str">
        <f>+'1. Staffing and Salary Cost'!$B$25</f>
        <v xml:space="preserve">Self Management Support &amp; Certified health education specialist (CHES) </v>
      </c>
      <c r="C201" s="11">
        <f t="shared" si="35"/>
        <v>1.2000000000000002</v>
      </c>
      <c r="D201" s="32">
        <f>+INDEX('7. PHMI Care Team Example'!$C$10:$C$28,MATCH($B201,'7. PHMI Care Team Example'!$B$10:$B$28,0))</f>
        <v>12500</v>
      </c>
      <c r="E201" s="12">
        <f>+IF(C201=0,0,($K$51+'8. Care Team Simulation'!$G$180)/C201)</f>
        <v>17367.646833333332</v>
      </c>
      <c r="F201" s="11">
        <f t="shared" si="36"/>
        <v>0.10000000000000002</v>
      </c>
      <c r="H201" s="2"/>
    </row>
    <row r="202" spans="1:8" x14ac:dyDescent="0.2">
      <c r="B202" s="6" t="str">
        <f>+'1. Staffing and Salary Cost'!$B$26</f>
        <v>Population Health Specialist (MA)</v>
      </c>
      <c r="C202" s="11">
        <f t="shared" si="35"/>
        <v>1.2000000000000002</v>
      </c>
      <c r="D202" s="32">
        <f>+INDEX('7. PHMI Care Team Example'!$C$10:$C$28,MATCH($B202,'7. PHMI Care Team Example'!$B$10:$B$28,0))</f>
        <v>12500</v>
      </c>
      <c r="E202" s="12">
        <f>+IF(C202=0,0,($K$51+'8. Care Team Simulation'!$G$180)/C202)</f>
        <v>17367.646833333332</v>
      </c>
      <c r="F202" s="11">
        <f t="shared" si="36"/>
        <v>0.10000000000000002</v>
      </c>
      <c r="H202" s="2"/>
    </row>
    <row r="203" spans="1:8" x14ac:dyDescent="0.2">
      <c r="B203" s="6" t="str">
        <f>+'1. Staffing and Salary Cost'!$B$27</f>
        <v>QI Data Analyst</v>
      </c>
      <c r="C203" s="11">
        <f t="shared" si="35"/>
        <v>1.2000000000000002</v>
      </c>
      <c r="D203" s="32">
        <f>+INDEX('7. PHMI Care Team Example'!$C$10:$C$28,MATCH($B203,'7. PHMI Care Team Example'!$B$10:$B$28,0))</f>
        <v>12500</v>
      </c>
      <c r="E203" s="12">
        <f>+IF(C203=0,0,($K$51+'8. Care Team Simulation'!$G$180)/C203)</f>
        <v>17367.646833333332</v>
      </c>
      <c r="F203" s="11">
        <f t="shared" si="36"/>
        <v>0.10000000000000002</v>
      </c>
      <c r="H203" s="2"/>
    </row>
    <row r="204" spans="1:8" x14ac:dyDescent="0.2">
      <c r="B204" s="6" t="str">
        <f>+'1. Staffing and Salary Cost'!$B$28</f>
        <v>Care Manager/ Program oversight</v>
      </c>
      <c r="C204" s="11">
        <f t="shared" si="35"/>
        <v>3.96</v>
      </c>
      <c r="D204" s="32">
        <f>+INDEX('7. PHMI Care Team Example'!$C$10:$C$28,MATCH($B204,'7. PHMI Care Team Example'!$B$10:$B$28,0))</f>
        <v>3787.878787878788</v>
      </c>
      <c r="E204" s="12">
        <f>+IF(C204=0,0,($K$51+'8. Care Team Simulation'!$G$180)/C204)</f>
        <v>5262.9232828282829</v>
      </c>
      <c r="F204" s="11">
        <f t="shared" si="36"/>
        <v>0.33</v>
      </c>
      <c r="H204" s="2"/>
    </row>
    <row r="205" spans="1:8" x14ac:dyDescent="0.2">
      <c r="B205" s="25" t="str">
        <f>+'1. Staffing and Salary Cost'!$B$29</f>
        <v>Referral Management/Care Coordinator (MA / layperson / patient navigator)</v>
      </c>
      <c r="C205" s="11">
        <f t="shared" ref="C205" si="37">+E78</f>
        <v>1.2000000000000002</v>
      </c>
      <c r="D205" s="32">
        <f>+INDEX('7. PHMI Care Team Example'!$C$10:$C$28,MATCH($B205,'7. PHMI Care Team Example'!$B$10:$B$28,0))</f>
        <v>12500</v>
      </c>
      <c r="E205" s="12">
        <f>+IF(C205=0,0,($K$51+'8. Care Team Simulation'!$G$180)/C205)</f>
        <v>17367.646833333332</v>
      </c>
      <c r="F205" s="11">
        <f t="shared" si="36"/>
        <v>0.10000000000000002</v>
      </c>
      <c r="H205" s="2"/>
    </row>
    <row r="206" spans="1:8" ht="16" x14ac:dyDescent="0.2">
      <c r="B206" s="134" t="s">
        <v>3</v>
      </c>
      <c r="C206" s="101"/>
      <c r="D206" s="101"/>
      <c r="E206" s="101"/>
      <c r="F206" s="101"/>
    </row>
    <row r="207" spans="1:8" ht="19" x14ac:dyDescent="0.25">
      <c r="A207" s="75"/>
    </row>
  </sheetData>
  <dataValidations count="2">
    <dataValidation type="list" allowBlank="1" showInputMessage="1" showErrorMessage="1" sqref="C96:C97" xr:uid="{086131B5-49D8-4B15-86C2-E4D22DB74074}">
      <formula1>"Yes, No"</formula1>
    </dataValidation>
    <dataValidation type="list" allowBlank="1" showInputMessage="1" showErrorMessage="1" sqref="C93" xr:uid="{AFBE4025-0713-4BE6-9DBB-A508736D0A6D}">
      <formula1>"FFS, FQHC APM Funding"</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b6729c1-51ff-4371-b895-3d413dbe14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F1E9FFA268648AF80F82C62DE1DDA" ma:contentTypeVersion="6" ma:contentTypeDescription="Create a new document." ma:contentTypeScope="" ma:versionID="ed908e8181b3b1e0f13c9daa12e29a77">
  <xsd:schema xmlns:xsd="http://www.w3.org/2001/XMLSchema" xmlns:xs="http://www.w3.org/2001/XMLSchema" xmlns:p="http://schemas.microsoft.com/office/2006/metadata/properties" xmlns:ns3="fe3a82ac-1bed-4e29-9caa-0d8c6b368a56" xmlns:ns4="4b6729c1-51ff-4371-b895-3d413dbe1462" targetNamespace="http://schemas.microsoft.com/office/2006/metadata/properties" ma:root="true" ma:fieldsID="79707710c29e2fbc4b43b0f34702035d" ns3:_="" ns4:_="">
    <xsd:import namespace="fe3a82ac-1bed-4e29-9caa-0d8c6b368a56"/>
    <xsd:import namespace="4b6729c1-51ff-4371-b895-3d413dbe14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a82ac-1bed-4e29-9caa-0d8c6b368a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6729c1-51ff-4371-b895-3d413dbe14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72AA6-E9B2-46EA-B17B-9246396DD8EB}">
  <ds:schemaRefs>
    <ds:schemaRef ds:uri="http://schemas.microsoft.com/office/2006/documentManagement/types"/>
    <ds:schemaRef ds:uri="fe3a82ac-1bed-4e29-9caa-0d8c6b368a56"/>
    <ds:schemaRef ds:uri="http://purl.org/dc/elements/1.1/"/>
    <ds:schemaRef ds:uri="http://purl.org/dc/dcmitype/"/>
    <ds:schemaRef ds:uri="http://schemas.microsoft.com/office/infopath/2007/PartnerControls"/>
    <ds:schemaRef ds:uri="http://purl.org/dc/terms/"/>
    <ds:schemaRef ds:uri="4b6729c1-51ff-4371-b895-3d413dbe1462"/>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A02A1FD-9B9F-430A-A4AE-BFE2CEA59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a82ac-1bed-4e29-9caa-0d8c6b368a56"/>
    <ds:schemaRef ds:uri="4b6729c1-51ff-4371-b895-3d413dbe1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93D20B-8BFC-4D7A-AC18-975B1857A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0. Instructions</vt:lpstr>
      <vt:lpstr>1. Staffing and Salary Cost</vt:lpstr>
      <vt:lpstr>2. Users, Visits, Revenue</vt:lpstr>
      <vt:lpstr>3. Administrative Costs</vt:lpstr>
      <vt:lpstr>4. Incentive information</vt:lpstr>
      <vt:lpstr>5. Historical Financials</vt:lpstr>
      <vt:lpstr>6. PHMI Expense and Grants</vt:lpstr>
      <vt:lpstr>7. PHMI Care Team Example</vt:lpstr>
      <vt:lpstr>8. Care Team Simulation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 Jones</dc:creator>
  <cp:lastModifiedBy>Sarah Starr</cp:lastModifiedBy>
  <dcterms:created xsi:type="dcterms:W3CDTF">2023-01-22T12:00:08Z</dcterms:created>
  <dcterms:modified xsi:type="dcterms:W3CDTF">2024-05-03T17:04:03Z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0x01010008BF1E9FFA268648AF80F82C62DE1DDA</vt:lpwstr>
  </property>
</Properties>
</file>